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gatome\Ensino\2Ciclo-ModelacaoRecursosFlorestais\Exercicios\Ingles\8 Diameter distribution models for even-aged stands\"/>
    </mc:Choice>
  </mc:AlternateContent>
  <bookViews>
    <workbookView xWindow="600" yWindow="210" windowWidth="11100" windowHeight="6345" firstSheet="1" activeTab="1"/>
  </bookViews>
  <sheets>
    <sheet name="Observed data" sheetId="9" r:id="rId1"/>
    <sheet name="Observed data + calculus" sheetId="1" r:id="rId2"/>
    <sheet name="Simulation" sheetId="2" r:id="rId3"/>
    <sheet name="Vol_70" sheetId="3" r:id="rId4"/>
    <sheet name="Vol_71" sheetId="4" r:id="rId5"/>
    <sheet name="Vol_71 after thinning" sheetId="5" r:id="rId6"/>
    <sheet name="Vol_75" sheetId="6" r:id="rId7"/>
    <sheet name="Vol_80" sheetId="7" r:id="rId8"/>
    <sheet name="Vol_85" sheetId="8" r:id="rId9"/>
  </sheets>
  <definedNames>
    <definedName name="Iqe" localSheetId="0">'Observed data'!#REF!</definedName>
    <definedName name="Iqe">'Observed data + calculus'!$D$14</definedName>
  </definedNames>
  <calcPr calcId="152511"/>
</workbook>
</file>

<file path=xl/calcChain.xml><?xml version="1.0" encoding="utf-8"?>
<calcChain xmlns="http://schemas.openxmlformats.org/spreadsheetml/2006/main">
  <c r="J21" i="3" l="1"/>
  <c r="H21" i="3"/>
  <c r="G21" i="3"/>
  <c r="F21" i="3"/>
  <c r="H30" i="3"/>
  <c r="H31" i="3"/>
  <c r="J21" i="4"/>
  <c r="H21" i="4"/>
  <c r="G21" i="4"/>
  <c r="F21" i="4"/>
  <c r="H30" i="4"/>
  <c r="H31" i="4"/>
  <c r="J21" i="5"/>
  <c r="H21" i="5"/>
  <c r="G21" i="5"/>
  <c r="F21" i="5"/>
  <c r="H30" i="5"/>
  <c r="H31" i="5"/>
  <c r="H21" i="6"/>
  <c r="J21" i="6"/>
  <c r="G21" i="6"/>
  <c r="F21" i="6"/>
  <c r="J21" i="7"/>
  <c r="H21" i="7"/>
  <c r="G21" i="7"/>
  <c r="F21" i="7"/>
  <c r="H30" i="7"/>
  <c r="H31" i="7"/>
  <c r="J21" i="8"/>
  <c r="H21" i="8"/>
  <c r="G21" i="8"/>
  <c r="F21" i="8"/>
  <c r="H30" i="8"/>
  <c r="H31" i="8"/>
  <c r="H30" i="6"/>
  <c r="H31" i="6"/>
  <c r="H29" i="6"/>
  <c r="J14" i="3" l="1"/>
  <c r="F15" i="3"/>
  <c r="E14" i="3"/>
  <c r="D14" i="3"/>
  <c r="D5" i="2"/>
  <c r="C19" i="1"/>
  <c r="D14" i="1"/>
  <c r="H24" i="1" l="1"/>
  <c r="J25" i="1"/>
  <c r="G25" i="1"/>
  <c r="I25" i="1"/>
  <c r="I18" i="9"/>
  <c r="I19" i="9" s="1"/>
  <c r="I20" i="9" s="1"/>
  <c r="I21" i="9" s="1"/>
  <c r="D24" i="1"/>
  <c r="D25" i="1"/>
  <c r="D26" i="1" s="1"/>
  <c r="D27" i="1" s="1"/>
  <c r="B4" i="5"/>
  <c r="B4" i="2"/>
  <c r="B3" i="3" s="1"/>
  <c r="A4" i="2"/>
  <c r="C4" i="2"/>
  <c r="C5" i="2" s="1"/>
  <c r="E4" i="4" s="1"/>
  <c r="F4" i="2"/>
  <c r="E5" i="3" s="1"/>
  <c r="D4" i="2"/>
  <c r="E3" i="3" s="1"/>
  <c r="E4" i="2"/>
  <c r="G4" i="2"/>
  <c r="E7" i="3" s="1"/>
  <c r="E6" i="3"/>
  <c r="H4" i="3" s="1"/>
  <c r="E4" i="3"/>
  <c r="E5" i="5"/>
  <c r="H27" i="1" l="1"/>
  <c r="B4" i="8"/>
  <c r="B4" i="6"/>
  <c r="B4" i="4"/>
  <c r="B4" i="3"/>
  <c r="B4" i="7"/>
  <c r="H4" i="2"/>
  <c r="E8" i="3" s="1"/>
  <c r="I4" i="3" s="1"/>
  <c r="F14" i="3" s="1"/>
  <c r="B5" i="2"/>
  <c r="E5" i="2" s="1"/>
  <c r="E6" i="4" s="1"/>
  <c r="H4" i="4" s="1"/>
  <c r="F5" i="2"/>
  <c r="B6" i="2" l="1"/>
  <c r="B3" i="5" s="1"/>
  <c r="B3" i="4"/>
  <c r="E6" i="2"/>
  <c r="E6" i="5" s="1"/>
  <c r="H4" i="5" s="1"/>
  <c r="H5" i="2"/>
  <c r="D16" i="3"/>
  <c r="E16" i="3" s="1"/>
  <c r="D18" i="3"/>
  <c r="E18" i="3" s="1"/>
  <c r="D6" i="2"/>
  <c r="E3" i="5" s="1"/>
  <c r="E3" i="4"/>
  <c r="G5" i="2"/>
  <c r="C6" i="2"/>
  <c r="E5" i="4"/>
  <c r="D20" i="3"/>
  <c r="E20" i="3" s="1"/>
  <c r="D19" i="3"/>
  <c r="E19" i="3" s="1"/>
  <c r="D17" i="3"/>
  <c r="E17" i="3" s="1"/>
  <c r="D15" i="3"/>
  <c r="E15" i="3" s="1"/>
  <c r="H6" i="2"/>
  <c r="E8" i="5" s="1"/>
  <c r="I4" i="5" s="1"/>
  <c r="D14" i="5" s="1"/>
  <c r="E8" i="4"/>
  <c r="I4" i="4" s="1"/>
  <c r="G14" i="3"/>
  <c r="B7" i="2" l="1"/>
  <c r="E7" i="2" s="1"/>
  <c r="E6" i="6" s="1"/>
  <c r="H4" i="6" s="1"/>
  <c r="D17" i="6" s="1"/>
  <c r="F17" i="3"/>
  <c r="F19" i="3"/>
  <c r="F16" i="3"/>
  <c r="F20" i="3"/>
  <c r="D17" i="5"/>
  <c r="D20" i="5"/>
  <c r="D15" i="5"/>
  <c r="D14" i="4"/>
  <c r="E14" i="4" s="1"/>
  <c r="F14" i="4" s="1"/>
  <c r="D15" i="4"/>
  <c r="E15" i="4" s="1"/>
  <c r="D19" i="4"/>
  <c r="E19" i="4" s="1"/>
  <c r="D16" i="4"/>
  <c r="E16" i="4" s="1"/>
  <c r="D18" i="4"/>
  <c r="E18" i="4" s="1"/>
  <c r="D20" i="4"/>
  <c r="E20" i="4" s="1"/>
  <c r="D17" i="4"/>
  <c r="E17" i="4" s="1"/>
  <c r="H14" i="3"/>
  <c r="I14" i="3" s="1"/>
  <c r="F18" i="3"/>
  <c r="B8" i="2"/>
  <c r="D7" i="2"/>
  <c r="E3" i="6" s="1"/>
  <c r="B3" i="6"/>
  <c r="H7" i="2"/>
  <c r="E8" i="6" s="1"/>
  <c r="I4" i="6" s="1"/>
  <c r="D14" i="6" s="1"/>
  <c r="F7" i="2"/>
  <c r="G15" i="3"/>
  <c r="H15" i="3" s="1"/>
  <c r="I15" i="3" s="1"/>
  <c r="J15" i="3" s="1"/>
  <c r="D19" i="5"/>
  <c r="D18" i="5"/>
  <c r="D16" i="5"/>
  <c r="E4" i="5"/>
  <c r="C7" i="2"/>
  <c r="G6" i="2"/>
  <c r="E7" i="5" s="1"/>
  <c r="E7" i="4"/>
  <c r="F16" i="4" l="1"/>
  <c r="E17" i="5"/>
  <c r="F17" i="4"/>
  <c r="D16" i="6"/>
  <c r="G16" i="3"/>
  <c r="H16" i="3" s="1"/>
  <c r="I16" i="3" s="1"/>
  <c r="J16" i="3"/>
  <c r="J4" i="2" s="1"/>
  <c r="G17" i="3"/>
  <c r="H17" i="3" s="1"/>
  <c r="I17" i="3" s="1"/>
  <c r="J17" i="3" s="1"/>
  <c r="G20" i="3"/>
  <c r="H20" i="3" s="1"/>
  <c r="I20" i="3" s="1"/>
  <c r="J20" i="3" s="1"/>
  <c r="G19" i="3"/>
  <c r="H19" i="3" s="1"/>
  <c r="I19" i="3" s="1"/>
  <c r="J19" i="3" s="1"/>
  <c r="H28" i="3"/>
  <c r="D19" i="6"/>
  <c r="E16" i="5"/>
  <c r="E19" i="5"/>
  <c r="C8" i="2"/>
  <c r="E4" i="6"/>
  <c r="E14" i="6" s="1"/>
  <c r="F14" i="6" s="1"/>
  <c r="G18" i="3"/>
  <c r="H18" i="3" s="1"/>
  <c r="I18" i="3" s="1"/>
  <c r="J18" i="3" s="1"/>
  <c r="H25" i="3"/>
  <c r="E15" i="5"/>
  <c r="F16" i="5" s="1"/>
  <c r="E20" i="5"/>
  <c r="F20" i="4"/>
  <c r="G20" i="4" s="1"/>
  <c r="H20" i="4" s="1"/>
  <c r="I20" i="4" s="1"/>
  <c r="J20" i="4" s="1"/>
  <c r="G16" i="4"/>
  <c r="H16" i="4" s="1"/>
  <c r="I16" i="4" s="1"/>
  <c r="J16" i="4" s="1"/>
  <c r="F15" i="4"/>
  <c r="H27" i="3"/>
  <c r="E14" i="5"/>
  <c r="F14" i="5" s="1"/>
  <c r="E19" i="6"/>
  <c r="D20" i="6"/>
  <c r="D15" i="6"/>
  <c r="E15" i="6" s="1"/>
  <c r="D18" i="6"/>
  <c r="E18" i="5"/>
  <c r="F18" i="5" s="1"/>
  <c r="H26" i="3"/>
  <c r="E8" i="2"/>
  <c r="E6" i="7" s="1"/>
  <c r="H4" i="7" s="1"/>
  <c r="G7" i="2"/>
  <c r="E7" i="6" s="1"/>
  <c r="F8" i="2"/>
  <c r="H8" i="2"/>
  <c r="E8" i="7" s="1"/>
  <c r="E5" i="6"/>
  <c r="B3" i="7"/>
  <c r="B9" i="2"/>
  <c r="D8" i="2"/>
  <c r="E3" i="7" s="1"/>
  <c r="G17" i="4"/>
  <c r="H17" i="4" s="1"/>
  <c r="I17" i="4" s="1"/>
  <c r="J17" i="4" s="1"/>
  <c r="F18" i="4"/>
  <c r="F19" i="4"/>
  <c r="G19" i="4" s="1"/>
  <c r="H19" i="4" s="1"/>
  <c r="I19" i="4" s="1"/>
  <c r="J19" i="4" s="1"/>
  <c r="G14" i="4"/>
  <c r="F20" i="5" l="1"/>
  <c r="G20" i="5" s="1"/>
  <c r="H20" i="5" s="1"/>
  <c r="I20" i="5" s="1"/>
  <c r="J20" i="5" s="1"/>
  <c r="E20" i="6"/>
  <c r="E18" i="6"/>
  <c r="F17" i="5"/>
  <c r="I4" i="7"/>
  <c r="D14" i="7" s="1"/>
  <c r="F20" i="6"/>
  <c r="G20" i="6" s="1"/>
  <c r="H20" i="6" s="1"/>
  <c r="I20" i="6" s="1"/>
  <c r="J20" i="6" s="1"/>
  <c r="H28" i="4"/>
  <c r="H27" i="4"/>
  <c r="G17" i="5"/>
  <c r="H17" i="5" s="1"/>
  <c r="I17" i="5" s="1"/>
  <c r="J17" i="5" s="1"/>
  <c r="G16" i="5"/>
  <c r="H16" i="5" s="1"/>
  <c r="I16" i="5" s="1"/>
  <c r="J16" i="5" s="1"/>
  <c r="G14" i="6"/>
  <c r="G18" i="4"/>
  <c r="H18" i="4" s="1"/>
  <c r="I18" i="4" s="1"/>
  <c r="J18" i="4" s="1"/>
  <c r="B3" i="8"/>
  <c r="D9" i="2"/>
  <c r="E3" i="8" s="1"/>
  <c r="H9" i="2"/>
  <c r="E8" i="8" s="1"/>
  <c r="G8" i="2"/>
  <c r="E7" i="7" s="1"/>
  <c r="E9" i="2"/>
  <c r="E6" i="8" s="1"/>
  <c r="H4" i="8" s="1"/>
  <c r="F9" i="2"/>
  <c r="E5" i="7"/>
  <c r="D19" i="7"/>
  <c r="G18" i="5"/>
  <c r="H18" i="5" s="1"/>
  <c r="I18" i="5" s="1"/>
  <c r="J18" i="5" s="1"/>
  <c r="F15" i="6"/>
  <c r="F19" i="6"/>
  <c r="G19" i="6" s="1"/>
  <c r="H19" i="6" s="1"/>
  <c r="I19" i="6" s="1"/>
  <c r="J19" i="6" s="1"/>
  <c r="G15" i="4"/>
  <c r="H15" i="4" s="1"/>
  <c r="I15" i="4" s="1"/>
  <c r="J15" i="4" s="1"/>
  <c r="H29" i="3"/>
  <c r="C9" i="2"/>
  <c r="E4" i="8" s="1"/>
  <c r="E4" i="7"/>
  <c r="E17" i="6"/>
  <c r="F18" i="6" s="1"/>
  <c r="H14" i="4"/>
  <c r="G14" i="5"/>
  <c r="F15" i="5"/>
  <c r="F19" i="5"/>
  <c r="G19" i="5" s="1"/>
  <c r="H19" i="5" s="1"/>
  <c r="I19" i="5" s="1"/>
  <c r="J19" i="5" s="1"/>
  <c r="E16" i="6"/>
  <c r="F16" i="6" s="1"/>
  <c r="D20" i="7" l="1"/>
  <c r="D18" i="7"/>
  <c r="D17" i="7"/>
  <c r="D16" i="7"/>
  <c r="E16" i="7" s="1"/>
  <c r="H26" i="4"/>
  <c r="D15" i="7"/>
  <c r="H29" i="4"/>
  <c r="I14" i="4"/>
  <c r="J14" i="4" s="1"/>
  <c r="J5" i="2" s="1"/>
  <c r="H25" i="4"/>
  <c r="H28" i="5"/>
  <c r="H27" i="5"/>
  <c r="H29" i="5"/>
  <c r="E20" i="7"/>
  <c r="E15" i="7"/>
  <c r="E18" i="7"/>
  <c r="E14" i="7"/>
  <c r="F14" i="7" s="1"/>
  <c r="G14" i="7" s="1"/>
  <c r="G16" i="6"/>
  <c r="H16" i="6" s="1"/>
  <c r="I16" i="6" s="1"/>
  <c r="J16" i="6" s="1"/>
  <c r="G15" i="5"/>
  <c r="H15" i="5" s="1"/>
  <c r="I15" i="5" s="1"/>
  <c r="J15" i="5" s="1"/>
  <c r="G18" i="6"/>
  <c r="H18" i="6" s="1"/>
  <c r="I18" i="6" s="1"/>
  <c r="J18" i="6" s="1"/>
  <c r="F17" i="6"/>
  <c r="G9" i="2"/>
  <c r="E7" i="8" s="1"/>
  <c r="E5" i="8"/>
  <c r="H14" i="6"/>
  <c r="H14" i="5"/>
  <c r="G15" i="6"/>
  <c r="H15" i="6" s="1"/>
  <c r="I15" i="6" s="1"/>
  <c r="J15" i="6" s="1"/>
  <c r="E17" i="7"/>
  <c r="F18" i="7" s="1"/>
  <c r="E19" i="7"/>
  <c r="F19" i="7" s="1"/>
  <c r="G19" i="7" s="1"/>
  <c r="H19" i="7" s="1"/>
  <c r="I19" i="7" s="1"/>
  <c r="J19" i="7" s="1"/>
  <c r="I4" i="8"/>
  <c r="D15" i="8" s="1"/>
  <c r="E15" i="8" s="1"/>
  <c r="F16" i="7" l="1"/>
  <c r="I14" i="6"/>
  <c r="J14" i="6" s="1"/>
  <c r="H25" i="6"/>
  <c r="H26" i="5"/>
  <c r="I14" i="5"/>
  <c r="J14" i="5" s="1"/>
  <c r="J6" i="2" s="1"/>
  <c r="H25" i="5"/>
  <c r="H26" i="6"/>
  <c r="H27" i="6"/>
  <c r="F15" i="7"/>
  <c r="G18" i="7"/>
  <c r="H18" i="7" s="1"/>
  <c r="I18" i="7" s="1"/>
  <c r="J18" i="7" s="1"/>
  <c r="D20" i="8"/>
  <c r="E20" i="8" s="1"/>
  <c r="D19" i="8"/>
  <c r="E19" i="8" s="1"/>
  <c r="D17" i="8"/>
  <c r="E17" i="8" s="1"/>
  <c r="D16" i="8"/>
  <c r="E16" i="8" s="1"/>
  <c r="F16" i="8" s="1"/>
  <c r="D14" i="8"/>
  <c r="E14" i="8" s="1"/>
  <c r="F14" i="8" s="1"/>
  <c r="G17" i="6"/>
  <c r="H17" i="6" s="1"/>
  <c r="I17" i="6" s="1"/>
  <c r="J17" i="6" s="1"/>
  <c r="D18" i="8"/>
  <c r="E18" i="8" s="1"/>
  <c r="F18" i="8" s="1"/>
  <c r="G16" i="7"/>
  <c r="H16" i="7" s="1"/>
  <c r="I16" i="7" s="1"/>
  <c r="J16" i="7" s="1"/>
  <c r="F17" i="7"/>
  <c r="H14" i="7"/>
  <c r="I14" i="7" s="1"/>
  <c r="J14" i="7" s="1"/>
  <c r="F20" i="7"/>
  <c r="G20" i="7" s="1"/>
  <c r="H20" i="7" s="1"/>
  <c r="I20" i="7" s="1"/>
  <c r="J20" i="7" s="1"/>
  <c r="H29" i="7" l="1"/>
  <c r="H25" i="7"/>
  <c r="H28" i="6"/>
  <c r="J7" i="2"/>
  <c r="H27" i="7"/>
  <c r="G15" i="7"/>
  <c r="H15" i="7" s="1"/>
  <c r="I15" i="7" s="1"/>
  <c r="J15" i="7" s="1"/>
  <c r="G18" i="8"/>
  <c r="H18" i="8" s="1"/>
  <c r="I18" i="8" s="1"/>
  <c r="J18" i="8" s="1"/>
  <c r="G17" i="7"/>
  <c r="G14" i="8"/>
  <c r="F17" i="8"/>
  <c r="G16" i="8"/>
  <c r="H16" i="8" s="1"/>
  <c r="I16" i="8" s="1"/>
  <c r="J16" i="8" s="1"/>
  <c r="F19" i="8"/>
  <c r="G19" i="8" s="1"/>
  <c r="H19" i="8" s="1"/>
  <c r="I19" i="8" s="1"/>
  <c r="J19" i="8" s="1"/>
  <c r="F20" i="8"/>
  <c r="G20" i="8" s="1"/>
  <c r="H20" i="8" s="1"/>
  <c r="I20" i="8" s="1"/>
  <c r="J20" i="8" s="1"/>
  <c r="F15" i="8"/>
  <c r="H27" i="8" l="1"/>
  <c r="H26" i="7"/>
  <c r="H29" i="8"/>
  <c r="G15" i="8"/>
  <c r="H15" i="8" s="1"/>
  <c r="I15" i="8" s="1"/>
  <c r="J15" i="8" s="1"/>
  <c r="H14" i="8"/>
  <c r="H17" i="7"/>
  <c r="G17" i="8"/>
  <c r="H17" i="8" s="1"/>
  <c r="I17" i="8" s="1"/>
  <c r="J17" i="8" s="1"/>
  <c r="I17" i="7" l="1"/>
  <c r="J17" i="7" s="1"/>
  <c r="J8" i="2" s="1"/>
  <c r="H28" i="7"/>
  <c r="I14" i="8"/>
  <c r="J14" i="8" s="1"/>
  <c r="J9" i="2" s="1"/>
  <c r="H25" i="8"/>
  <c r="H28" i="8"/>
  <c r="H26" i="8"/>
</calcChain>
</file>

<file path=xl/comments1.xml><?xml version="1.0" encoding="utf-8"?>
<comments xmlns="http://schemas.openxmlformats.org/spreadsheetml/2006/main">
  <authors>
    <author>biometria</author>
    <author>Margarida Tomé</author>
  </authors>
  <commentList>
    <comment ref="J5" authorId="0" shapeId="0">
      <text>
        <r>
          <rPr>
            <sz val="8"/>
            <color indexed="81"/>
            <rFont val="Tahoma"/>
            <family val="2"/>
          </rPr>
          <t>volume estimado com a equação normalmente utilizada para gestão da MNL</t>
        </r>
      </text>
    </comment>
    <comment ref="D14" authorId="1" shapeId="0">
      <text>
        <r>
          <rPr>
            <b/>
            <sz val="8"/>
            <color indexed="81"/>
            <rFont val="Tahoma"/>
            <family val="2"/>
          </rPr>
          <t>estimated from the measurement at  17 years (1970)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biometria</author>
  </authors>
  <commentList>
    <comment ref="I2" authorId="0" shapeId="0">
      <text>
        <r>
          <rPr>
            <sz val="8"/>
            <color indexed="81"/>
            <rFont val="Tahoma"/>
            <family val="2"/>
          </rPr>
          <t>volume estimado com a equação normalmente utilizada para gestão da MNL</t>
        </r>
      </text>
    </comment>
    <comment ref="J2" authorId="0" shapeId="0">
      <text>
        <r>
          <rPr>
            <sz val="8"/>
            <color indexed="81"/>
            <rFont val="Tahoma"/>
            <family val="2"/>
          </rPr>
          <t xml:space="preserve">volume estimado com base na simulação da distribuição de diâmetros, ver a folha correspondente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input from the user
</t>
        </r>
      </text>
    </comment>
  </commentList>
</comments>
</file>

<file path=xl/comments3.xml><?xml version="1.0" encoding="utf-8"?>
<comments xmlns="http://schemas.openxmlformats.org/spreadsheetml/2006/main">
  <authors>
    <author>TOMES</author>
  </authors>
  <commentList>
    <comment ref="J3" authorId="0" shapeId="0">
      <text>
        <r>
          <rPr>
            <sz val="8"/>
            <color indexed="81"/>
            <rFont val="Tahoma"/>
            <family val="2"/>
          </rPr>
          <t xml:space="preserve">Estimated with the PBRAVO model
</t>
        </r>
      </text>
    </comment>
  </commentList>
</comments>
</file>

<file path=xl/comments4.xml><?xml version="1.0" encoding="utf-8"?>
<comments xmlns="http://schemas.openxmlformats.org/spreadsheetml/2006/main">
  <authors>
    <author>TOMES</author>
  </authors>
  <commentList>
    <comment ref="J3" authorId="0" shapeId="0">
      <text>
        <r>
          <rPr>
            <sz val="8"/>
            <color indexed="81"/>
            <rFont val="Tahoma"/>
            <family val="2"/>
          </rPr>
          <t xml:space="preserve">Estimated with the PBRAVO model
</t>
        </r>
      </text>
    </comment>
  </commentList>
</comments>
</file>

<file path=xl/comments5.xml><?xml version="1.0" encoding="utf-8"?>
<comments xmlns="http://schemas.openxmlformats.org/spreadsheetml/2006/main">
  <authors>
    <author>TOMES</author>
  </authors>
  <commentList>
    <comment ref="J3" authorId="0" shapeId="0">
      <text>
        <r>
          <rPr>
            <sz val="8"/>
            <color indexed="81"/>
            <rFont val="Tahoma"/>
            <family val="2"/>
          </rPr>
          <t xml:space="preserve">Estimated with the PBRAVO model
</t>
        </r>
      </text>
    </comment>
  </commentList>
</comments>
</file>

<file path=xl/comments6.xml><?xml version="1.0" encoding="utf-8"?>
<comments xmlns="http://schemas.openxmlformats.org/spreadsheetml/2006/main">
  <authors>
    <author>TOMES</author>
  </authors>
  <commentList>
    <comment ref="J3" authorId="0" shapeId="0">
      <text>
        <r>
          <rPr>
            <sz val="8"/>
            <color indexed="81"/>
            <rFont val="Tahoma"/>
            <family val="2"/>
          </rPr>
          <t xml:space="preserve">Estimated with the PBRAVO model
</t>
        </r>
      </text>
    </comment>
  </commentList>
</comments>
</file>

<file path=xl/comments7.xml><?xml version="1.0" encoding="utf-8"?>
<comments xmlns="http://schemas.openxmlformats.org/spreadsheetml/2006/main">
  <authors>
    <author>TOMES</author>
  </authors>
  <commentList>
    <comment ref="J3" authorId="0" shapeId="0">
      <text>
        <r>
          <rPr>
            <sz val="8"/>
            <color indexed="81"/>
            <rFont val="Tahoma"/>
            <family val="2"/>
          </rPr>
          <t xml:space="preserve">Estimated with the PBRAVO model
</t>
        </r>
      </text>
    </comment>
  </commentList>
</comments>
</file>

<file path=xl/comments8.xml><?xml version="1.0" encoding="utf-8"?>
<comments xmlns="http://schemas.openxmlformats.org/spreadsheetml/2006/main">
  <authors>
    <author>TOMES</author>
  </authors>
  <commentList>
    <comment ref="J3" authorId="0" shapeId="0">
      <text>
        <r>
          <rPr>
            <sz val="8"/>
            <color indexed="81"/>
            <rFont val="Tahoma"/>
            <family val="2"/>
          </rPr>
          <t xml:space="preserve">Estimated with the PBRAVO model
</t>
        </r>
      </text>
    </comment>
  </commentList>
</comments>
</file>

<file path=xl/sharedStrings.xml><?xml version="1.0" encoding="utf-8"?>
<sst xmlns="http://schemas.openxmlformats.org/spreadsheetml/2006/main" count="336" uniqueCount="81">
  <si>
    <t>N</t>
  </si>
  <si>
    <t>hdom</t>
  </si>
  <si>
    <t>(m)</t>
  </si>
  <si>
    <t>dmin</t>
  </si>
  <si>
    <t>(cm)</t>
  </si>
  <si>
    <t>G</t>
  </si>
  <si>
    <t>dg</t>
  </si>
  <si>
    <t>V</t>
  </si>
  <si>
    <r>
      <t>(ha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</si>
  <si>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r>
      <t>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ha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</si>
  <si>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r>
      <t>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ha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)</t>
    </r>
  </si>
  <si>
    <t>t</t>
  </si>
  <si>
    <t>SI</t>
  </si>
  <si>
    <t>Weibull</t>
  </si>
  <si>
    <t>a</t>
  </si>
  <si>
    <t>b</t>
  </si>
  <si>
    <t>c</t>
  </si>
  <si>
    <t>[2.5, 7.5]</t>
  </si>
  <si>
    <t>]7.5, 12.5]</t>
  </si>
  <si>
    <t>]12.5, 17.5]</t>
  </si>
  <si>
    <t>]17.5, 22.5]</t>
  </si>
  <si>
    <t>]22.5, 27.5]</t>
  </si>
  <si>
    <t>N90</t>
  </si>
  <si>
    <t>P90</t>
  </si>
  <si>
    <t>h</t>
  </si>
  <si>
    <t>N x h</t>
  </si>
  <si>
    <r>
      <t>(ha</t>
    </r>
    <r>
      <rPr>
        <b/>
        <vertAlign val="superscript"/>
        <sz val="10"/>
        <color indexed="53"/>
        <rFont val="Arial"/>
        <family val="2"/>
      </rPr>
      <t>-1</t>
    </r>
    <r>
      <rPr>
        <b/>
        <sz val="10"/>
        <color indexed="53"/>
        <rFont val="Arial"/>
        <family val="2"/>
      </rPr>
      <t>)</t>
    </r>
  </si>
  <si>
    <t>]27.5, 32.5]</t>
  </si>
  <si>
    <t>]32.5, 37.5]</t>
  </si>
  <si>
    <r>
      <t>(m</t>
    </r>
    <r>
      <rPr>
        <b/>
        <vertAlign val="superscript"/>
        <sz val="10"/>
        <color indexed="53"/>
        <rFont val="Arial"/>
        <family val="2"/>
      </rPr>
      <t>2</t>
    </r>
    <r>
      <rPr>
        <b/>
        <sz val="10"/>
        <color indexed="53"/>
        <rFont val="Arial"/>
        <family val="2"/>
      </rPr>
      <t>ha</t>
    </r>
    <r>
      <rPr>
        <b/>
        <vertAlign val="superscript"/>
        <sz val="10"/>
        <color indexed="53"/>
        <rFont val="Arial"/>
        <family val="2"/>
      </rPr>
      <t>-1</t>
    </r>
    <r>
      <rPr>
        <b/>
        <sz val="10"/>
        <color indexed="53"/>
        <rFont val="Arial"/>
        <family val="2"/>
      </rPr>
      <t>)</t>
    </r>
  </si>
  <si>
    <r>
      <t>(m</t>
    </r>
    <r>
      <rPr>
        <b/>
        <vertAlign val="superscript"/>
        <sz val="10"/>
        <color indexed="53"/>
        <rFont val="Arial"/>
        <family val="2"/>
      </rPr>
      <t>3</t>
    </r>
    <r>
      <rPr>
        <b/>
        <sz val="10"/>
        <color indexed="53"/>
        <rFont val="Arial"/>
        <family val="2"/>
      </rPr>
      <t>ha</t>
    </r>
    <r>
      <rPr>
        <b/>
        <vertAlign val="superscript"/>
        <sz val="10"/>
        <color indexed="53"/>
        <rFont val="Arial"/>
        <family val="2"/>
      </rPr>
      <t>-1</t>
    </r>
    <r>
      <rPr>
        <b/>
        <sz val="10"/>
        <color indexed="53"/>
        <rFont val="Arial"/>
        <family val="2"/>
      </rPr>
      <t>)</t>
    </r>
  </si>
  <si>
    <t>dsup</t>
  </si>
  <si>
    <t>dcentral</t>
  </si>
  <si>
    <t>Vobs</t>
  </si>
  <si>
    <t>Vest</t>
  </si>
  <si>
    <t>lim sup</t>
  </si>
  <si>
    <t>P90=</t>
  </si>
  <si>
    <t>v</t>
  </si>
  <si>
    <t>National Forest of Leiria - stand nº 2</t>
  </si>
  <si>
    <t>observed data - forest inventory</t>
  </si>
  <si>
    <t>year</t>
  </si>
  <si>
    <t>(years)</t>
  </si>
  <si>
    <t>at</t>
  </si>
  <si>
    <t>at - after thinning</t>
  </si>
  <si>
    <t>d central</t>
  </si>
  <si>
    <r>
      <rPr>
        <b/>
        <sz val="10"/>
        <color indexed="8"/>
        <rFont val="Symbol"/>
        <family val="1"/>
        <charset val="2"/>
      </rPr>
      <t>S</t>
    </r>
    <r>
      <rPr>
        <b/>
        <sz val="10"/>
        <color indexed="8"/>
        <rFont val="Arial"/>
        <family val="2"/>
      </rPr>
      <t>N</t>
    </r>
  </si>
  <si>
    <t>Stand nº 2 of the National Forest of Leiria</t>
  </si>
  <si>
    <t>obesrved data - forest inventory</t>
  </si>
  <si>
    <t>Site index</t>
  </si>
  <si>
    <t>Computing the percentile P90</t>
  </si>
  <si>
    <t xml:space="preserve">lim sup d </t>
  </si>
  <si>
    <t>lim sup N</t>
  </si>
  <si>
    <t>DIAMETER DISTRIBUTION IN 1970</t>
  </si>
  <si>
    <t>17.5-P90</t>
  </si>
  <si>
    <t>17.5-12.5</t>
  </si>
  <si>
    <t>865.3-790.2</t>
  </si>
  <si>
    <t>865.3-743.8</t>
  </si>
  <si>
    <t>diameter distribution</t>
  </si>
  <si>
    <t>Computing P90</t>
  </si>
  <si>
    <t>projection without thinning</t>
  </si>
  <si>
    <t>thinning simulation</t>
  </si>
  <si>
    <t>Characterization of the stand (1970)</t>
  </si>
  <si>
    <t>NOTE: Before 1970 the stand was object of a non-commercial thinning</t>
  </si>
  <si>
    <t>Characterization of the stand (1971)</t>
  </si>
  <si>
    <t>Characterization of the stand after thinning (1971)</t>
  </si>
  <si>
    <t>Characterization of the stand (1975)</t>
  </si>
  <si>
    <t>Characterization of the stand (1980)</t>
  </si>
  <si>
    <t>Characterization of the stand (1985)</t>
  </si>
  <si>
    <t>d</t>
  </si>
  <si>
    <t>classe</t>
  </si>
  <si>
    <t>Simulation of the diameter distribution in 1970</t>
  </si>
  <si>
    <t>Simulation of the diameter distribution in 1971</t>
  </si>
  <si>
    <t>Simulation of the diameter distribution in 1971, after thinning</t>
  </si>
  <si>
    <t>Simulation of the diameter distribution in 1975</t>
  </si>
  <si>
    <t>Simulation of the diameter distribution in 1980</t>
  </si>
  <si>
    <t>Simulation of the diameter distribution in 1985</t>
  </si>
  <si>
    <t>Stand</t>
  </si>
  <si>
    <t>P(d&lt;dsup)</t>
  </si>
  <si>
    <r>
      <rPr>
        <b/>
        <sz val="10"/>
        <color indexed="53"/>
        <rFont val="Symbol"/>
        <family val="1"/>
        <charset val="2"/>
      </rPr>
      <t>S</t>
    </r>
    <r>
      <rPr>
        <b/>
        <sz val="10"/>
        <color indexed="53"/>
        <rFont val="Arial"/>
        <family val="2"/>
      </rPr>
      <t>N</t>
    </r>
  </si>
  <si>
    <r>
      <t>(m</t>
    </r>
    <r>
      <rPr>
        <b/>
        <vertAlign val="superscript"/>
        <sz val="10"/>
        <color indexed="53"/>
        <rFont val="Arial"/>
        <family val="2"/>
      </rPr>
      <t>3</t>
    </r>
    <r>
      <rPr>
        <b/>
        <sz val="10"/>
        <color indexed="53"/>
        <rFont val="Arial"/>
        <family val="2"/>
      </rPr>
      <t>)</t>
    </r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</si>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</sst>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5" x14ac:knownFonts="1">
    <font>
      <sz val="10"/>
      <name val="Arial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53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51"/>
      <name val="Arial"/>
      <family val="2"/>
    </font>
    <font>
      <b/>
      <u/>
      <sz val="10"/>
      <color indexed="50"/>
      <name val="Arial"/>
      <family val="2"/>
    </font>
    <font>
      <b/>
      <sz val="10"/>
      <color indexed="8"/>
      <name val="Arial"/>
      <family val="2"/>
    </font>
    <font>
      <b/>
      <sz val="8.5"/>
      <name val="Arial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10"/>
      <color indexed="53"/>
      <name val="Arial"/>
      <family val="2"/>
    </font>
    <font>
      <sz val="10"/>
      <color indexed="17"/>
      <name val="Arial"/>
      <family val="2"/>
    </font>
    <font>
      <b/>
      <sz val="8"/>
      <color indexed="81"/>
      <name val="Tahoma"/>
      <family val="2"/>
    </font>
    <font>
      <b/>
      <sz val="10"/>
      <color indexed="8"/>
      <name val="Symbol"/>
      <family val="1"/>
      <charset val="2"/>
    </font>
    <font>
      <b/>
      <sz val="12"/>
      <color rgb="FF008000"/>
      <name val="Arial"/>
      <family val="2"/>
    </font>
    <font>
      <b/>
      <u/>
      <sz val="10"/>
      <color rgb="FF008000"/>
      <name val="Arial"/>
      <family val="2"/>
    </font>
    <font>
      <b/>
      <sz val="10"/>
      <color rgb="FF008000"/>
      <name val="Arial"/>
      <family val="2"/>
    </font>
    <font>
      <sz val="14"/>
      <color rgb="FF008000"/>
      <name val="Arial"/>
      <family val="2"/>
    </font>
    <font>
      <b/>
      <sz val="9"/>
      <color rgb="FF008000"/>
      <name val="Arial"/>
      <family val="2"/>
    </font>
    <font>
      <b/>
      <sz val="10"/>
      <color indexed="53"/>
      <name val="Symbol"/>
      <family val="1"/>
      <charset val="2"/>
    </font>
    <font>
      <b/>
      <sz val="16"/>
      <color rgb="FF008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8000"/>
      </left>
      <right style="thick">
        <color rgb="FF008000"/>
      </right>
      <top style="thick">
        <color rgb="FF008000"/>
      </top>
      <bottom style="thin">
        <color indexed="64"/>
      </bottom>
      <diagonal/>
    </border>
    <border>
      <left style="thick">
        <color rgb="FF008000"/>
      </left>
      <right style="thick">
        <color rgb="FF008000"/>
      </right>
      <top/>
      <bottom/>
      <diagonal/>
    </border>
    <border>
      <left style="thick">
        <color rgb="FF008000"/>
      </left>
      <right style="thick">
        <color rgb="FF008000"/>
      </right>
      <top/>
      <bottom style="thick">
        <color rgb="FF008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ck">
        <color rgb="FF008000"/>
      </left>
      <right style="thick">
        <color rgb="FF008000"/>
      </right>
      <top style="thick">
        <color rgb="FF008000"/>
      </top>
      <bottom/>
      <diagonal/>
    </border>
    <border>
      <left style="thick">
        <color rgb="FF008000"/>
      </left>
      <right style="thick">
        <color rgb="FF008000"/>
      </right>
      <top/>
      <bottom style="dotted">
        <color indexed="64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2" borderId="0" xfId="0" applyNumberFormat="1" applyFill="1" applyBorder="1"/>
    <xf numFmtId="164" fontId="0" fillId="2" borderId="2" xfId="0" applyNumberForma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0" xfId="0" applyNumberFormat="1" applyFill="1" applyBorder="1" applyAlignment="1">
      <alignment horizontal="left" indent="1"/>
    </xf>
    <xf numFmtId="164" fontId="0" fillId="2" borderId="9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/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0" fillId="2" borderId="0" xfId="0" applyFill="1" applyAlignment="1"/>
    <xf numFmtId="0" fontId="0" fillId="2" borderId="13" xfId="0" applyFill="1" applyBorder="1" applyAlignment="1">
      <alignment horizontal="center"/>
    </xf>
    <xf numFmtId="0" fontId="7" fillId="2" borderId="0" xfId="0" applyFont="1" applyFill="1" applyAlignment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4" fillId="2" borderId="7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7" fillId="2" borderId="16" xfId="0" applyFont="1" applyFill="1" applyBorder="1" applyAlignment="1"/>
    <xf numFmtId="1" fontId="0" fillId="2" borderId="16" xfId="0" applyNumberForma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164" fontId="0" fillId="2" borderId="1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2" fontId="0" fillId="0" borderId="0" xfId="0" applyNumberFormat="1"/>
    <xf numFmtId="2" fontId="0" fillId="2" borderId="1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0" borderId="0" xfId="0" applyAlignment="1"/>
    <xf numFmtId="164" fontId="0" fillId="0" borderId="0" xfId="0" applyNumberFormat="1" applyFill="1" applyBorder="1" applyAlignment="1"/>
    <xf numFmtId="1" fontId="0" fillId="2" borderId="1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0" borderId="0" xfId="0" applyNumberFormat="1" applyAlignment="1">
      <alignment horizontal="right"/>
    </xf>
    <xf numFmtId="1" fontId="0" fillId="0" borderId="0" xfId="0" applyNumberFormat="1" applyFill="1" applyBorder="1" applyAlignment="1">
      <alignment horizontal="right"/>
    </xf>
    <xf numFmtId="2" fontId="0" fillId="0" borderId="0" xfId="0" applyNumberFormat="1" applyFill="1"/>
    <xf numFmtId="2" fontId="0" fillId="0" borderId="0" xfId="0" applyNumberFormat="1" applyFill="1" applyAlignment="1">
      <alignment horizontal="right"/>
    </xf>
    <xf numFmtId="2" fontId="0" fillId="0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10" fillId="2" borderId="13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5" fillId="2" borderId="0" xfId="0" applyFont="1" applyFill="1"/>
    <xf numFmtId="0" fontId="0" fillId="2" borderId="13" xfId="0" applyFill="1" applyBorder="1" applyAlignment="1"/>
    <xf numFmtId="0" fontId="0" fillId="2" borderId="13" xfId="0" applyFill="1" applyBorder="1" applyAlignment="1">
      <alignment horizontal="right"/>
    </xf>
    <xf numFmtId="164" fontId="0" fillId="2" borderId="13" xfId="0" applyNumberFormat="1" applyFill="1" applyBorder="1"/>
    <xf numFmtId="0" fontId="4" fillId="2" borderId="13" xfId="0" applyFont="1" applyFill="1" applyBorder="1" applyAlignment="1">
      <alignment horizontal="left"/>
    </xf>
    <xf numFmtId="0" fontId="0" fillId="0" borderId="13" xfId="0" applyBorder="1"/>
    <xf numFmtId="0" fontId="4" fillId="2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 applyBorder="1" applyAlignment="1">
      <alignment horizontal="center"/>
    </xf>
    <xf numFmtId="0" fontId="0" fillId="3" borderId="0" xfId="0" applyFill="1" applyBorder="1"/>
    <xf numFmtId="0" fontId="10" fillId="2" borderId="18" xfId="0" applyFont="1" applyFill="1" applyBorder="1" applyAlignment="1">
      <alignment horizontal="center"/>
    </xf>
    <xf numFmtId="164" fontId="0" fillId="2" borderId="19" xfId="0" applyNumberFormat="1" applyFill="1" applyBorder="1" applyAlignment="1">
      <alignment horizontal="left" indent="1"/>
    </xf>
    <xf numFmtId="164" fontId="0" fillId="2" borderId="20" xfId="0" applyNumberFormat="1" applyFill="1" applyBorder="1" applyAlignment="1">
      <alignment horizontal="left" indent="1"/>
    </xf>
    <xf numFmtId="0" fontId="0" fillId="4" borderId="8" xfId="0" applyFill="1" applyBorder="1" applyAlignment="1">
      <alignment horizontal="center"/>
    </xf>
    <xf numFmtId="164" fontId="0" fillId="4" borderId="19" xfId="0" applyNumberFormat="1" applyFill="1" applyBorder="1" applyAlignment="1">
      <alignment horizontal="left" indent="1"/>
    </xf>
    <xf numFmtId="164" fontId="0" fillId="4" borderId="9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/>
    <xf numFmtId="0" fontId="0" fillId="2" borderId="21" xfId="0" applyFill="1" applyBorder="1" applyAlignment="1">
      <alignment horizontal="right"/>
    </xf>
    <xf numFmtId="0" fontId="0" fillId="3" borderId="13" xfId="0" applyFill="1" applyBorder="1" applyAlignment="1">
      <alignment horizontal="center"/>
    </xf>
    <xf numFmtId="0" fontId="0" fillId="3" borderId="13" xfId="0" applyFill="1" applyBorder="1" applyAlignment="1"/>
    <xf numFmtId="164" fontId="0" fillId="3" borderId="13" xfId="0" applyNumberFormat="1" applyFill="1" applyBorder="1" applyAlignment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0" fillId="2" borderId="2" xfId="0" applyFill="1" applyBorder="1"/>
    <xf numFmtId="0" fontId="0" fillId="2" borderId="17" xfId="0" applyFill="1" applyBorder="1"/>
    <xf numFmtId="0" fontId="6" fillId="2" borderId="0" xfId="0" applyFont="1" applyFill="1" applyBorder="1"/>
    <xf numFmtId="0" fontId="6" fillId="0" borderId="0" xfId="0" applyFont="1"/>
    <xf numFmtId="0" fontId="4" fillId="0" borderId="0" xfId="0" applyFont="1" applyFill="1" applyAlignment="1"/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22" fillId="2" borderId="14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0" fillId="3" borderId="0" xfId="0" applyFill="1"/>
    <xf numFmtId="164" fontId="0" fillId="3" borderId="0" xfId="0" applyNumberFormat="1" applyFill="1" applyBorder="1"/>
    <xf numFmtId="0" fontId="7" fillId="2" borderId="0" xfId="0" applyFont="1" applyFill="1" applyAlignment="1">
      <alignment horizontal="center"/>
    </xf>
    <xf numFmtId="0" fontId="7" fillId="2" borderId="16" xfId="0" applyFon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3" borderId="16" xfId="0" applyNumberForma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6" fontId="0" fillId="2" borderId="16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6" fontId="0" fillId="2" borderId="0" xfId="0" applyNumberFormat="1" applyFill="1"/>
    <xf numFmtId="166" fontId="0" fillId="3" borderId="0" xfId="0" applyNumberFormat="1" applyFill="1"/>
    <xf numFmtId="164" fontId="0" fillId="2" borderId="11" xfId="0" applyNumberFormat="1" applyFill="1" applyBorder="1" applyAlignment="1">
      <alignment horizontal="center"/>
    </xf>
    <xf numFmtId="0" fontId="6" fillId="0" borderId="0" xfId="0" applyFont="1" applyBorder="1"/>
    <xf numFmtId="2" fontId="0" fillId="4" borderId="0" xfId="0" applyNumberFormat="1" applyFill="1"/>
    <xf numFmtId="0" fontId="24" fillId="2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0" fillId="3" borderId="24" xfId="0" applyNumberFormat="1" applyFill="1" applyBorder="1"/>
    <xf numFmtId="164" fontId="0" fillId="3" borderId="25" xfId="0" applyNumberFormat="1" applyFill="1" applyBorder="1"/>
    <xf numFmtId="164" fontId="0" fillId="3" borderId="2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40</xdr:row>
      <xdr:rowOff>0</xdr:rowOff>
    </xdr:from>
    <xdr:to>
      <xdr:col>8</xdr:col>
      <xdr:colOff>285750</xdr:colOff>
      <xdr:row>40</xdr:row>
      <xdr:rowOff>0</xdr:rowOff>
    </xdr:to>
    <xdr:sp macro="" textlink="">
      <xdr:nvSpPr>
        <xdr:cNvPr id="9230" name="Line 14"/>
        <xdr:cNvSpPr>
          <a:spLocks noChangeShapeType="1"/>
        </xdr:cNvSpPr>
      </xdr:nvSpPr>
      <xdr:spPr bwMode="auto">
        <a:xfrm>
          <a:off x="4762500" y="707707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45</xdr:row>
      <xdr:rowOff>0</xdr:rowOff>
    </xdr:from>
    <xdr:to>
      <xdr:col>8</xdr:col>
      <xdr:colOff>285750</xdr:colOff>
      <xdr:row>45</xdr:row>
      <xdr:rowOff>0</xdr:rowOff>
    </xdr:to>
    <xdr:sp macro="" textlink="">
      <xdr:nvSpPr>
        <xdr:cNvPr id="9231" name="Line 15"/>
        <xdr:cNvSpPr>
          <a:spLocks noChangeShapeType="1"/>
        </xdr:cNvSpPr>
      </xdr:nvSpPr>
      <xdr:spPr bwMode="auto">
        <a:xfrm>
          <a:off x="4762500" y="78867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46</xdr:row>
      <xdr:rowOff>0</xdr:rowOff>
    </xdr:from>
    <xdr:to>
      <xdr:col>8</xdr:col>
      <xdr:colOff>285750</xdr:colOff>
      <xdr:row>46</xdr:row>
      <xdr:rowOff>0</xdr:rowOff>
    </xdr:to>
    <xdr:sp macro="" textlink="">
      <xdr:nvSpPr>
        <xdr:cNvPr id="9232" name="Line 16"/>
        <xdr:cNvSpPr>
          <a:spLocks noChangeShapeType="1"/>
        </xdr:cNvSpPr>
      </xdr:nvSpPr>
      <xdr:spPr bwMode="auto">
        <a:xfrm>
          <a:off x="4762500" y="804862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49</xdr:row>
      <xdr:rowOff>0</xdr:rowOff>
    </xdr:from>
    <xdr:to>
      <xdr:col>8</xdr:col>
      <xdr:colOff>285750</xdr:colOff>
      <xdr:row>49</xdr:row>
      <xdr:rowOff>0</xdr:rowOff>
    </xdr:to>
    <xdr:sp macro="" textlink="">
      <xdr:nvSpPr>
        <xdr:cNvPr id="9233" name="Line 17"/>
        <xdr:cNvSpPr>
          <a:spLocks noChangeShapeType="1"/>
        </xdr:cNvSpPr>
      </xdr:nvSpPr>
      <xdr:spPr bwMode="auto">
        <a:xfrm>
          <a:off x="4762500" y="85344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51</xdr:row>
      <xdr:rowOff>0</xdr:rowOff>
    </xdr:from>
    <xdr:to>
      <xdr:col>8</xdr:col>
      <xdr:colOff>285750</xdr:colOff>
      <xdr:row>51</xdr:row>
      <xdr:rowOff>0</xdr:rowOff>
    </xdr:to>
    <xdr:sp macro="" textlink="">
      <xdr:nvSpPr>
        <xdr:cNvPr id="9234" name="Line 18"/>
        <xdr:cNvSpPr>
          <a:spLocks noChangeShapeType="1"/>
        </xdr:cNvSpPr>
      </xdr:nvSpPr>
      <xdr:spPr bwMode="auto">
        <a:xfrm>
          <a:off x="4762500" y="885825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23</xdr:row>
      <xdr:rowOff>85725</xdr:rowOff>
    </xdr:from>
    <xdr:to>
      <xdr:col>5</xdr:col>
      <xdr:colOff>457200</xdr:colOff>
      <xdr:row>24</xdr:row>
      <xdr:rowOff>85725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V="1">
          <a:off x="2466975" y="4048125"/>
          <a:ext cx="1038225" cy="161925"/>
        </a:xfrm>
        <a:prstGeom prst="line">
          <a:avLst/>
        </a:prstGeom>
        <a:noFill/>
        <a:ln w="19050">
          <a:solidFill>
            <a:srgbClr val="008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44</xdr:row>
      <xdr:rowOff>0</xdr:rowOff>
    </xdr:from>
    <xdr:to>
      <xdr:col>7</xdr:col>
      <xdr:colOff>285750</xdr:colOff>
      <xdr:row>44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4581525" y="738187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49</xdr:row>
      <xdr:rowOff>0</xdr:rowOff>
    </xdr:from>
    <xdr:to>
      <xdr:col>7</xdr:col>
      <xdr:colOff>285750</xdr:colOff>
      <xdr:row>49</xdr:row>
      <xdr:rowOff>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>
          <a:off x="4581525" y="81915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50</xdr:row>
      <xdr:rowOff>0</xdr:rowOff>
    </xdr:from>
    <xdr:to>
      <xdr:col>7</xdr:col>
      <xdr:colOff>285750</xdr:colOff>
      <xdr:row>50</xdr:row>
      <xdr:rowOff>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4581525" y="835342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53</xdr:row>
      <xdr:rowOff>0</xdr:rowOff>
    </xdr:from>
    <xdr:to>
      <xdr:col>7</xdr:col>
      <xdr:colOff>285750</xdr:colOff>
      <xdr:row>53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>
          <a:off x="4581525" y="883920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55</xdr:row>
      <xdr:rowOff>0</xdr:rowOff>
    </xdr:from>
    <xdr:to>
      <xdr:col>7</xdr:col>
      <xdr:colOff>285750</xdr:colOff>
      <xdr:row>55</xdr:row>
      <xdr:rowOff>0</xdr:rowOff>
    </xdr:to>
    <xdr:sp macro="" textlink="">
      <xdr:nvSpPr>
        <xdr:cNvPr id="1078" name="Line 54"/>
        <xdr:cNvSpPr>
          <a:spLocks noChangeShapeType="1"/>
        </xdr:cNvSpPr>
      </xdr:nvSpPr>
      <xdr:spPr bwMode="auto">
        <a:xfrm>
          <a:off x="4581525" y="916305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47625</xdr:rowOff>
    </xdr:from>
    <xdr:to>
      <xdr:col>7</xdr:col>
      <xdr:colOff>295274</xdr:colOff>
      <xdr:row>24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 flipH="1">
          <a:off x="4562474" y="3495675"/>
          <a:ext cx="0" cy="4572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21</xdr:row>
      <xdr:rowOff>57150</xdr:rowOff>
    </xdr:from>
    <xdr:to>
      <xdr:col>7</xdr:col>
      <xdr:colOff>295275</xdr:colOff>
      <xdr:row>22</xdr:row>
      <xdr:rowOff>104775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4562475" y="3505200"/>
          <a:ext cx="0" cy="21907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295274</xdr:colOff>
      <xdr:row>21</xdr:row>
      <xdr:rowOff>47625</xdr:rowOff>
    </xdr:from>
    <xdr:to>
      <xdr:col>7</xdr:col>
      <xdr:colOff>295274</xdr:colOff>
      <xdr:row>24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 flipH="1">
          <a:off x="4562474" y="3495675"/>
          <a:ext cx="0" cy="4572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21</xdr:row>
      <xdr:rowOff>57150</xdr:rowOff>
    </xdr:from>
    <xdr:to>
      <xdr:col>7</xdr:col>
      <xdr:colOff>295275</xdr:colOff>
      <xdr:row>22</xdr:row>
      <xdr:rowOff>104775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4562475" y="3505200"/>
          <a:ext cx="0" cy="21907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295274</xdr:colOff>
      <xdr:row>21</xdr:row>
      <xdr:rowOff>47625</xdr:rowOff>
    </xdr:from>
    <xdr:to>
      <xdr:col>7</xdr:col>
      <xdr:colOff>295274</xdr:colOff>
      <xdr:row>24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 flipH="1">
          <a:off x="4562474" y="3495675"/>
          <a:ext cx="0" cy="4572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21</xdr:row>
      <xdr:rowOff>57150</xdr:rowOff>
    </xdr:from>
    <xdr:to>
      <xdr:col>7</xdr:col>
      <xdr:colOff>295275</xdr:colOff>
      <xdr:row>22</xdr:row>
      <xdr:rowOff>104775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4562475" y="3505200"/>
          <a:ext cx="0" cy="21907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295274</xdr:colOff>
      <xdr:row>21</xdr:row>
      <xdr:rowOff>47625</xdr:rowOff>
    </xdr:from>
    <xdr:to>
      <xdr:col>7</xdr:col>
      <xdr:colOff>295274</xdr:colOff>
      <xdr:row>24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 flipH="1">
          <a:off x="4562474" y="3495675"/>
          <a:ext cx="0" cy="4572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21</xdr:row>
      <xdr:rowOff>57150</xdr:rowOff>
    </xdr:from>
    <xdr:to>
      <xdr:col>7</xdr:col>
      <xdr:colOff>295275</xdr:colOff>
      <xdr:row>22</xdr:row>
      <xdr:rowOff>104775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4562475" y="3505200"/>
          <a:ext cx="0" cy="21907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295274</xdr:colOff>
      <xdr:row>21</xdr:row>
      <xdr:rowOff>47625</xdr:rowOff>
    </xdr:from>
    <xdr:to>
      <xdr:col>7</xdr:col>
      <xdr:colOff>295274</xdr:colOff>
      <xdr:row>24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 flipH="1">
          <a:off x="4562474" y="3495675"/>
          <a:ext cx="0" cy="4572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21</xdr:row>
      <xdr:rowOff>57150</xdr:rowOff>
    </xdr:from>
    <xdr:to>
      <xdr:col>7</xdr:col>
      <xdr:colOff>295275</xdr:colOff>
      <xdr:row>22</xdr:row>
      <xdr:rowOff>104775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4562475" y="3505200"/>
          <a:ext cx="0" cy="21907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295274</xdr:colOff>
      <xdr:row>21</xdr:row>
      <xdr:rowOff>47625</xdr:rowOff>
    </xdr:from>
    <xdr:to>
      <xdr:col>7</xdr:col>
      <xdr:colOff>295274</xdr:colOff>
      <xdr:row>24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 flipH="1">
          <a:off x="4562474" y="3495675"/>
          <a:ext cx="0" cy="4572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4"/>
  <sheetViews>
    <sheetView workbookViewId="0">
      <selection activeCell="I8" sqref="I8"/>
    </sheetView>
  </sheetViews>
  <sheetFormatPr defaultRowHeight="12.75" x14ac:dyDescent="0.2"/>
  <cols>
    <col min="4" max="4" width="2.7109375" customWidth="1"/>
    <col min="7" max="7" width="9.5703125" bestFit="1" customWidth="1"/>
    <col min="9" max="9" width="8.5703125" customWidth="1"/>
    <col min="10" max="13" width="9.140625" style="1"/>
    <col min="14" max="92" width="9.140625" style="49"/>
  </cols>
  <sheetData>
    <row r="1" spans="1:93" ht="20.25" x14ac:dyDescent="0.3">
      <c r="A1" s="1"/>
      <c r="B1" s="1"/>
      <c r="C1" s="1"/>
      <c r="D1" s="1"/>
      <c r="E1" s="133" t="s">
        <v>38</v>
      </c>
      <c r="F1" s="134"/>
      <c r="G1" s="134"/>
      <c r="H1" s="134"/>
      <c r="I1" s="134"/>
      <c r="J1" s="134"/>
    </row>
    <row r="2" spans="1:93" x14ac:dyDescent="0.2">
      <c r="A2" s="1"/>
      <c r="B2" s="1"/>
      <c r="C2" s="1"/>
      <c r="D2" s="1"/>
      <c r="E2" s="1"/>
      <c r="F2" s="1"/>
      <c r="G2" s="1"/>
      <c r="H2" s="1"/>
      <c r="I2" s="1"/>
      <c r="Q2" s="131"/>
      <c r="R2" s="131"/>
      <c r="S2" s="131"/>
    </row>
    <row r="3" spans="1:93" ht="16.5" thickBot="1" x14ac:dyDescent="0.3">
      <c r="A3" s="1"/>
      <c r="B3" s="1"/>
      <c r="C3" s="1"/>
      <c r="D3" s="1"/>
      <c r="F3" s="86" t="s">
        <v>39</v>
      </c>
      <c r="G3" s="75"/>
      <c r="H3" s="75"/>
      <c r="I3" s="75"/>
    </row>
    <row r="4" spans="1:93" ht="20.100000000000001" customHeight="1" x14ac:dyDescent="0.2">
      <c r="A4" s="1"/>
      <c r="B4" s="1"/>
      <c r="C4" s="82" t="s">
        <v>40</v>
      </c>
      <c r="D4" s="2"/>
      <c r="E4" s="82" t="s">
        <v>11</v>
      </c>
      <c r="F4" s="2" t="s">
        <v>0</v>
      </c>
      <c r="G4" s="2" t="s">
        <v>1</v>
      </c>
      <c r="H4" s="2" t="s">
        <v>3</v>
      </c>
      <c r="I4" s="2" t="s">
        <v>5</v>
      </c>
      <c r="J4" s="2" t="s">
        <v>6</v>
      </c>
      <c r="K4" s="2" t="s">
        <v>7</v>
      </c>
      <c r="M4" s="13"/>
    </row>
    <row r="5" spans="1:93" ht="14.1" customHeight="1" x14ac:dyDescent="0.2">
      <c r="A5" s="1"/>
      <c r="B5" s="1"/>
      <c r="C5" s="3"/>
      <c r="D5" s="3"/>
      <c r="E5" s="83" t="s">
        <v>41</v>
      </c>
      <c r="F5" s="3" t="s">
        <v>8</v>
      </c>
      <c r="G5" s="3" t="s">
        <v>2</v>
      </c>
      <c r="H5" s="3" t="s">
        <v>4</v>
      </c>
      <c r="I5" s="3" t="s">
        <v>9</v>
      </c>
      <c r="J5" s="3" t="s">
        <v>4</v>
      </c>
      <c r="K5" s="3" t="s">
        <v>10</v>
      </c>
      <c r="M5" s="13"/>
    </row>
    <row r="6" spans="1:93" ht="15" customHeight="1" x14ac:dyDescent="0.2">
      <c r="A6" s="1"/>
      <c r="B6" s="1"/>
      <c r="C6" s="4">
        <v>1970</v>
      </c>
      <c r="D6" s="4"/>
      <c r="E6" s="4">
        <v>17</v>
      </c>
      <c r="F6" s="4">
        <v>878</v>
      </c>
      <c r="G6" s="5">
        <v>7</v>
      </c>
      <c r="H6" s="5">
        <v>2.5</v>
      </c>
      <c r="I6" s="5">
        <v>7.2</v>
      </c>
      <c r="J6" s="5">
        <v>10.199999999999999</v>
      </c>
      <c r="K6" s="6">
        <v>23.811</v>
      </c>
      <c r="M6" s="4"/>
      <c r="R6" s="50"/>
    </row>
    <row r="7" spans="1:93" ht="15" customHeight="1" x14ac:dyDescent="0.2">
      <c r="A7" s="1"/>
      <c r="B7" s="1"/>
      <c r="C7" s="4">
        <v>1971</v>
      </c>
      <c r="D7" s="4"/>
      <c r="E7" s="4">
        <v>18</v>
      </c>
      <c r="F7" s="4">
        <v>878</v>
      </c>
      <c r="G7" s="5"/>
      <c r="H7" s="5"/>
      <c r="I7" s="5"/>
      <c r="J7" s="5"/>
      <c r="K7" s="6"/>
      <c r="M7" s="4"/>
      <c r="R7" s="50"/>
    </row>
    <row r="8" spans="1:93" ht="15" customHeight="1" x14ac:dyDescent="0.2">
      <c r="A8" s="1"/>
      <c r="B8" s="1"/>
      <c r="C8" s="4">
        <v>1971</v>
      </c>
      <c r="D8" s="84" t="s">
        <v>42</v>
      </c>
      <c r="E8" s="4">
        <v>18</v>
      </c>
      <c r="F8" s="4">
        <v>726</v>
      </c>
      <c r="G8" s="5"/>
      <c r="H8" s="5"/>
      <c r="I8" s="5">
        <v>7.2</v>
      </c>
      <c r="J8" s="5"/>
      <c r="K8" s="6"/>
      <c r="M8" s="4"/>
      <c r="R8" s="50"/>
    </row>
    <row r="9" spans="1:93" ht="15" customHeight="1" x14ac:dyDescent="0.2">
      <c r="A9" s="1"/>
      <c r="B9" s="1"/>
      <c r="C9" s="4">
        <v>1975</v>
      </c>
      <c r="D9" s="4"/>
      <c r="E9" s="4">
        <v>22</v>
      </c>
      <c r="F9" s="4">
        <v>726</v>
      </c>
      <c r="G9" s="5">
        <v>9.6</v>
      </c>
      <c r="H9" s="5">
        <v>2.5</v>
      </c>
      <c r="I9" s="5">
        <v>11.95</v>
      </c>
      <c r="J9" s="5">
        <v>14.48</v>
      </c>
      <c r="K9" s="6">
        <v>49.75</v>
      </c>
      <c r="M9" s="4"/>
    </row>
    <row r="10" spans="1:93" ht="15" customHeight="1" x14ac:dyDescent="0.2">
      <c r="A10" s="1"/>
      <c r="B10" s="1"/>
      <c r="C10" s="4">
        <v>1980</v>
      </c>
      <c r="D10" s="4"/>
      <c r="E10" s="4">
        <v>27</v>
      </c>
      <c r="F10" s="4">
        <v>726</v>
      </c>
      <c r="G10" s="5">
        <v>11.3</v>
      </c>
      <c r="H10" s="5">
        <v>2.5</v>
      </c>
      <c r="I10" s="5">
        <v>18.100000000000001</v>
      </c>
      <c r="J10" s="5">
        <v>17.82</v>
      </c>
      <c r="K10" s="6">
        <v>85.27</v>
      </c>
      <c r="M10" s="4"/>
    </row>
    <row r="11" spans="1:93" ht="15" customHeight="1" x14ac:dyDescent="0.2">
      <c r="A11" s="1"/>
      <c r="B11" s="1"/>
      <c r="C11" s="4">
        <v>1985</v>
      </c>
      <c r="D11" s="4"/>
      <c r="E11" s="4">
        <v>32</v>
      </c>
      <c r="F11" s="4">
        <v>726</v>
      </c>
      <c r="G11" s="5">
        <v>13.5</v>
      </c>
      <c r="H11" s="5">
        <v>2.5</v>
      </c>
      <c r="I11" s="5">
        <v>22.7</v>
      </c>
      <c r="J11" s="5">
        <v>19.95</v>
      </c>
      <c r="K11" s="6">
        <v>122.66</v>
      </c>
      <c r="M11" s="4"/>
    </row>
    <row r="12" spans="1:93" ht="5.0999999999999996" customHeight="1" thickBot="1" x14ac:dyDescent="0.25">
      <c r="A12" s="1"/>
      <c r="B12" s="1"/>
      <c r="C12" s="7"/>
      <c r="D12" s="7"/>
      <c r="E12" s="7"/>
      <c r="F12" s="7"/>
      <c r="G12" s="8"/>
      <c r="H12" s="8"/>
      <c r="I12" s="8"/>
      <c r="J12" s="8"/>
      <c r="K12" s="9"/>
      <c r="M12" s="4"/>
      <c r="N12" s="50"/>
    </row>
    <row r="13" spans="1:93" x14ac:dyDescent="0.2">
      <c r="A13" s="13"/>
      <c r="B13" s="13"/>
      <c r="C13" s="13"/>
      <c r="D13" s="85" t="s">
        <v>43</v>
      </c>
      <c r="E13" s="10"/>
      <c r="F13" s="10"/>
      <c r="G13" s="10"/>
      <c r="H13" s="10"/>
      <c r="I13" s="11"/>
      <c r="J13" s="4"/>
      <c r="K13" s="4"/>
      <c r="L13" s="4"/>
      <c r="M13" s="4"/>
      <c r="N13" s="50"/>
    </row>
    <row r="14" spans="1:93" ht="15" customHeight="1" x14ac:dyDescent="0.2">
      <c r="A14" s="1"/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0"/>
    </row>
    <row r="15" spans="1:93" ht="15" customHeight="1" x14ac:dyDescent="0.2">
      <c r="A15" s="1"/>
      <c r="B15" s="1"/>
      <c r="C15" s="4"/>
      <c r="D15" s="4"/>
      <c r="E15" s="4"/>
      <c r="F15" s="135" t="s">
        <v>52</v>
      </c>
      <c r="G15" s="136"/>
      <c r="H15" s="136"/>
      <c r="I15" s="137"/>
      <c r="J15" s="4"/>
      <c r="K15" s="4"/>
      <c r="L15" s="4"/>
      <c r="M15" s="4"/>
      <c r="N15" s="50"/>
    </row>
    <row r="16" spans="1:93" x14ac:dyDescent="0.2">
      <c r="A16" s="1"/>
      <c r="B16" s="14"/>
      <c r="C16" s="1"/>
      <c r="D16" s="1"/>
      <c r="E16" s="1"/>
      <c r="F16" s="71" t="s">
        <v>44</v>
      </c>
      <c r="G16" s="74" t="s">
        <v>35</v>
      </c>
      <c r="H16" s="70" t="s">
        <v>0</v>
      </c>
      <c r="I16" s="36" t="s">
        <v>45</v>
      </c>
      <c r="J16" s="69"/>
      <c r="N16" s="1"/>
      <c r="O16" s="50"/>
      <c r="CO16" s="49"/>
    </row>
    <row r="17" spans="1:93" x14ac:dyDescent="0.2">
      <c r="A17" s="33"/>
      <c r="B17" s="34"/>
      <c r="C17" s="1"/>
      <c r="D17" s="1"/>
      <c r="E17" s="1"/>
      <c r="F17" s="72">
        <v>5</v>
      </c>
      <c r="G17" s="72">
        <v>7.5</v>
      </c>
      <c r="H17" s="130">
        <v>205.2</v>
      </c>
      <c r="I17" s="24">
        <v>205.2</v>
      </c>
      <c r="N17" s="1"/>
      <c r="O17" s="50"/>
      <c r="CO17" s="49"/>
    </row>
    <row r="18" spans="1:93" x14ac:dyDescent="0.2">
      <c r="A18" s="26"/>
      <c r="B18" s="26"/>
      <c r="C18" s="26"/>
      <c r="D18" s="26"/>
      <c r="E18" s="26"/>
      <c r="F18" s="72">
        <v>10</v>
      </c>
      <c r="G18" s="72">
        <v>12.5</v>
      </c>
      <c r="H18" s="130">
        <v>538.6</v>
      </c>
      <c r="I18" s="24">
        <f>H18+I17</f>
        <v>743.8</v>
      </c>
      <c r="N18" s="1"/>
      <c r="O18" s="50"/>
      <c r="CO18" s="49"/>
    </row>
    <row r="19" spans="1:93" x14ac:dyDescent="0.2">
      <c r="A19" s="26"/>
      <c r="B19" s="13"/>
      <c r="C19" s="13"/>
      <c r="D19" s="13"/>
      <c r="E19" s="13"/>
      <c r="F19" s="72">
        <v>15</v>
      </c>
      <c r="G19" s="72">
        <v>17.5</v>
      </c>
      <c r="H19" s="130">
        <v>121.5</v>
      </c>
      <c r="I19" s="24">
        <f>H19+I18</f>
        <v>865.3</v>
      </c>
      <c r="N19" s="1"/>
      <c r="O19" s="50"/>
      <c r="CO19" s="49"/>
    </row>
    <row r="20" spans="1:93" x14ac:dyDescent="0.2">
      <c r="A20" s="26"/>
      <c r="B20" s="13"/>
      <c r="C20" s="10"/>
      <c r="D20" s="10"/>
      <c r="E20" s="13"/>
      <c r="F20" s="72">
        <v>20</v>
      </c>
      <c r="G20" s="72">
        <v>22.5</v>
      </c>
      <c r="H20" s="130">
        <v>11.7</v>
      </c>
      <c r="I20" s="24">
        <f>H20+I19</f>
        <v>877</v>
      </c>
      <c r="N20" s="1"/>
      <c r="O20" s="50"/>
      <c r="CO20" s="49"/>
    </row>
    <row r="21" spans="1:93" x14ac:dyDescent="0.2">
      <c r="A21" s="26"/>
      <c r="B21" s="13"/>
      <c r="C21" s="10"/>
      <c r="D21" s="10"/>
      <c r="E21" s="13"/>
      <c r="F21" s="72">
        <v>25</v>
      </c>
      <c r="G21" s="72">
        <v>27.5</v>
      </c>
      <c r="H21" s="130">
        <v>1</v>
      </c>
      <c r="I21" s="24">
        <f>H21+I20</f>
        <v>878</v>
      </c>
      <c r="N21" s="1"/>
      <c r="O21" s="50"/>
      <c r="CO21" s="49"/>
    </row>
    <row r="22" spans="1:93" x14ac:dyDescent="0.2">
      <c r="A22" s="1"/>
      <c r="B22" s="1"/>
      <c r="C22" s="1"/>
      <c r="D22" s="1"/>
      <c r="E22" s="1"/>
      <c r="F22" s="73">
        <v>30</v>
      </c>
      <c r="G22" s="73">
        <v>32.5</v>
      </c>
      <c r="H22" s="42"/>
      <c r="I22" s="25"/>
      <c r="N22" s="1"/>
      <c r="O22" s="50"/>
      <c r="CO22" s="49"/>
    </row>
    <row r="23" spans="1:93" x14ac:dyDescent="0.2">
      <c r="A23" s="1"/>
      <c r="B23" s="1"/>
      <c r="C23" s="1"/>
      <c r="D23" s="1"/>
      <c r="E23" s="1"/>
      <c r="F23" s="1"/>
      <c r="G23" s="1"/>
      <c r="H23" s="1"/>
      <c r="I23" s="1"/>
      <c r="J23" s="13"/>
      <c r="K23" s="23"/>
      <c r="L23" s="13"/>
      <c r="N23" s="50"/>
    </row>
    <row r="24" spans="1:93" x14ac:dyDescent="0.2">
      <c r="A24" s="1"/>
      <c r="B24" s="1"/>
      <c r="C24" s="1"/>
      <c r="D24" s="1"/>
      <c r="E24" s="1"/>
      <c r="F24" s="1"/>
      <c r="G24" s="1"/>
      <c r="H24" s="1"/>
      <c r="I24" s="1"/>
      <c r="J24" s="13"/>
      <c r="K24" s="23"/>
      <c r="L24" s="13"/>
      <c r="N24" s="50"/>
    </row>
    <row r="25" spans="1:93" x14ac:dyDescent="0.2">
      <c r="A25" s="1"/>
      <c r="B25" s="1"/>
      <c r="C25" s="102" t="s">
        <v>62</v>
      </c>
      <c r="D25" s="1"/>
      <c r="E25" s="1"/>
      <c r="F25" s="1"/>
      <c r="G25" s="1"/>
      <c r="H25" s="1"/>
      <c r="I25" s="1"/>
      <c r="J25" s="13"/>
      <c r="K25" s="23"/>
      <c r="L25" s="13"/>
      <c r="N25" s="50"/>
    </row>
    <row r="26" spans="1:93" x14ac:dyDescent="0.2">
      <c r="A26" s="1"/>
      <c r="B26" s="1"/>
      <c r="C26" s="1"/>
      <c r="D26" s="1"/>
      <c r="E26" s="1"/>
      <c r="F26" s="1"/>
      <c r="G26" s="1"/>
      <c r="H26" s="1"/>
      <c r="I26" s="1"/>
      <c r="J26" s="13"/>
      <c r="K26" s="23"/>
      <c r="L26" s="13"/>
      <c r="N26" s="50"/>
    </row>
    <row r="27" spans="1:93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3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3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3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3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3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2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2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2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2" s="1" customFormat="1" x14ac:dyDescent="0.2"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</row>
    <row r="53" spans="1:92" s="1" customFormat="1" x14ac:dyDescent="0.2"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</row>
    <row r="54" spans="1:92" s="1" customFormat="1" x14ac:dyDescent="0.2"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</row>
  </sheetData>
  <mergeCells count="2">
    <mergeCell ref="E1:J1"/>
    <mergeCell ref="F15:I15"/>
  </mergeCells>
  <phoneticPr fontId="0" type="noConversion"/>
  <printOptions gridLines="1"/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58"/>
  <sheetViews>
    <sheetView tabSelected="1" zoomScale="150" zoomScaleNormal="150" workbookViewId="0">
      <selection activeCell="E27" sqref="E27"/>
    </sheetView>
  </sheetViews>
  <sheetFormatPr defaultRowHeight="12.75" x14ac:dyDescent="0.2"/>
  <cols>
    <col min="6" max="6" width="9.5703125" bestFit="1" customWidth="1"/>
    <col min="8" max="8" width="8.5703125" customWidth="1"/>
    <col min="13" max="91" width="9.140625" style="49"/>
  </cols>
  <sheetData>
    <row r="1" spans="1:13" ht="18" x14ac:dyDescent="0.25">
      <c r="A1" s="1"/>
      <c r="B1" s="1"/>
      <c r="C1" s="1"/>
      <c r="D1" s="143" t="s">
        <v>46</v>
      </c>
      <c r="E1" s="144"/>
      <c r="F1" s="144"/>
      <c r="G1" s="144"/>
      <c r="H1" s="144"/>
      <c r="I1" s="144"/>
      <c r="J1" s="1"/>
      <c r="K1" s="1"/>
      <c r="L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6.5" thickBot="1" x14ac:dyDescent="0.3">
      <c r="A4" s="1"/>
      <c r="B4" s="1"/>
      <c r="C4" s="1"/>
      <c r="E4" s="86" t="s">
        <v>47</v>
      </c>
      <c r="F4" s="1"/>
      <c r="G4" s="1"/>
      <c r="H4" s="1"/>
      <c r="I4" s="1"/>
      <c r="J4" s="1"/>
      <c r="K4" s="1"/>
      <c r="L4" s="1"/>
    </row>
    <row r="5" spans="1:13" ht="20.100000000000001" customHeight="1" x14ac:dyDescent="0.2">
      <c r="A5" s="1"/>
      <c r="B5" s="1"/>
      <c r="C5" s="82" t="s">
        <v>40</v>
      </c>
      <c r="D5" s="82" t="s">
        <v>11</v>
      </c>
      <c r="E5" s="2" t="s">
        <v>0</v>
      </c>
      <c r="F5" s="2" t="s">
        <v>1</v>
      </c>
      <c r="G5" s="2" t="s">
        <v>3</v>
      </c>
      <c r="H5" s="2" t="s">
        <v>5</v>
      </c>
      <c r="I5" s="2" t="s">
        <v>6</v>
      </c>
      <c r="J5" s="2" t="s">
        <v>7</v>
      </c>
      <c r="K5" s="1"/>
      <c r="L5" s="13"/>
    </row>
    <row r="6" spans="1:13" ht="14.1" customHeight="1" x14ac:dyDescent="0.2">
      <c r="A6" s="1"/>
      <c r="B6" s="1"/>
      <c r="C6" s="3"/>
      <c r="D6" s="83" t="s">
        <v>41</v>
      </c>
      <c r="E6" s="3" t="s">
        <v>8</v>
      </c>
      <c r="F6" s="3" t="s">
        <v>2</v>
      </c>
      <c r="G6" s="3" t="s">
        <v>4</v>
      </c>
      <c r="H6" s="3" t="s">
        <v>9</v>
      </c>
      <c r="I6" s="3" t="s">
        <v>4</v>
      </c>
      <c r="J6" s="3" t="s">
        <v>10</v>
      </c>
      <c r="K6" s="1"/>
      <c r="L6" s="13"/>
    </row>
    <row r="7" spans="1:13" ht="15" customHeight="1" x14ac:dyDescent="0.2">
      <c r="A7" s="1"/>
      <c r="B7" s="1"/>
      <c r="C7" s="4">
        <v>1970</v>
      </c>
      <c r="D7" s="4">
        <v>17</v>
      </c>
      <c r="E7" s="4">
        <v>878</v>
      </c>
      <c r="F7" s="5">
        <v>7</v>
      </c>
      <c r="G7" s="5">
        <v>2.5</v>
      </c>
      <c r="H7" s="5">
        <v>7.2</v>
      </c>
      <c r="I7" s="5">
        <v>10.199999999999999</v>
      </c>
      <c r="J7" s="6">
        <v>23.811</v>
      </c>
      <c r="K7" s="1"/>
      <c r="L7" s="4"/>
    </row>
    <row r="8" spans="1:13" x14ac:dyDescent="0.2">
      <c r="A8" s="1"/>
      <c r="B8" s="1"/>
      <c r="C8" s="4">
        <v>1975</v>
      </c>
      <c r="D8" s="4">
        <v>22</v>
      </c>
      <c r="E8" s="4">
        <v>726</v>
      </c>
      <c r="F8" s="5">
        <v>9.6</v>
      </c>
      <c r="G8" s="5">
        <v>2.5</v>
      </c>
      <c r="H8" s="5">
        <v>11.95</v>
      </c>
      <c r="I8" s="5">
        <v>14.48</v>
      </c>
      <c r="J8" s="6">
        <v>49.75</v>
      </c>
      <c r="K8" s="1"/>
      <c r="L8" s="4"/>
    </row>
    <row r="9" spans="1:13" x14ac:dyDescent="0.2">
      <c r="A9" s="1"/>
      <c r="B9" s="1"/>
      <c r="C9" s="4">
        <v>1980</v>
      </c>
      <c r="D9" s="4">
        <v>27</v>
      </c>
      <c r="E9" s="4">
        <v>726</v>
      </c>
      <c r="F9" s="5">
        <v>11.3</v>
      </c>
      <c r="G9" s="5">
        <v>2.5</v>
      </c>
      <c r="H9" s="5">
        <v>18.100000000000001</v>
      </c>
      <c r="I9" s="5">
        <v>17.82</v>
      </c>
      <c r="J9" s="6">
        <v>85.27</v>
      </c>
      <c r="K9" s="1"/>
      <c r="L9" s="4"/>
    </row>
    <row r="10" spans="1:13" x14ac:dyDescent="0.2">
      <c r="A10" s="1"/>
      <c r="B10" s="1"/>
      <c r="C10" s="4">
        <v>1985</v>
      </c>
      <c r="D10" s="4">
        <v>32</v>
      </c>
      <c r="E10" s="4">
        <v>726</v>
      </c>
      <c r="F10" s="5">
        <v>13.5</v>
      </c>
      <c r="G10" s="5">
        <v>2.5</v>
      </c>
      <c r="H10" s="5">
        <v>22.7</v>
      </c>
      <c r="I10" s="5">
        <v>19.95</v>
      </c>
      <c r="J10" s="6">
        <v>122.66</v>
      </c>
      <c r="K10" s="1"/>
      <c r="L10" s="4"/>
    </row>
    <row r="11" spans="1:13" ht="5.0999999999999996" customHeight="1" thickBot="1" x14ac:dyDescent="0.25">
      <c r="A11" s="1"/>
      <c r="B11" s="1"/>
      <c r="C11" s="7"/>
      <c r="D11" s="7"/>
      <c r="E11" s="7"/>
      <c r="F11" s="8"/>
      <c r="G11" s="8"/>
      <c r="H11" s="8"/>
      <c r="I11" s="8"/>
      <c r="J11" s="9"/>
      <c r="K11" s="1"/>
      <c r="L11" s="4"/>
      <c r="M11" s="50"/>
    </row>
    <row r="12" spans="1:13" x14ac:dyDescent="0.2">
      <c r="A12" s="13"/>
      <c r="B12" s="13"/>
      <c r="C12" s="13"/>
      <c r="D12" s="10"/>
      <c r="E12" s="10"/>
      <c r="F12" s="10"/>
      <c r="G12" s="10"/>
      <c r="H12" s="11"/>
      <c r="I12" s="4"/>
      <c r="J12" s="4"/>
      <c r="K12" s="4"/>
      <c r="L12" s="4"/>
      <c r="M12" s="50"/>
    </row>
    <row r="13" spans="1:13" ht="15" customHeight="1" x14ac:dyDescent="0.2">
      <c r="A13" s="1"/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50"/>
    </row>
    <row r="14" spans="1:13" x14ac:dyDescent="0.2">
      <c r="A14" s="12"/>
      <c r="B14" s="79" t="s">
        <v>48</v>
      </c>
      <c r="C14" s="80"/>
      <c r="D14" s="53">
        <f>F7*(10^(-0.380999+2.694076*(D7^-0.5)))</f>
        <v>13.107155341529637</v>
      </c>
      <c r="E14" s="89"/>
      <c r="G14" s="1"/>
      <c r="H14" s="1"/>
      <c r="I14" s="1"/>
      <c r="J14" s="1"/>
      <c r="K14" s="1"/>
      <c r="L14" s="1"/>
      <c r="M14" s="50"/>
    </row>
    <row r="15" spans="1:13" x14ac:dyDescent="0.2">
      <c r="A15" s="12"/>
      <c r="B15" s="81"/>
      <c r="C15" s="49"/>
      <c r="D15" s="89"/>
      <c r="E15" s="89"/>
      <c r="F15" s="10"/>
      <c r="G15" s="1"/>
      <c r="H15" s="1"/>
      <c r="I15" s="1"/>
      <c r="J15" s="1"/>
      <c r="K15" s="1"/>
      <c r="L15" s="1"/>
      <c r="M15" s="50"/>
    </row>
    <row r="16" spans="1:13" x14ac:dyDescent="0.2">
      <c r="A16" s="1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50"/>
    </row>
    <row r="17" spans="1:13" x14ac:dyDescent="0.2">
      <c r="A17" s="33"/>
      <c r="B17" s="87" t="s">
        <v>49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50"/>
    </row>
    <row r="18" spans="1:13" x14ac:dyDescent="0.2">
      <c r="A18" s="33"/>
      <c r="B18" s="34"/>
      <c r="C18" s="1"/>
      <c r="D18" s="1"/>
      <c r="E18" s="1"/>
      <c r="F18" s="1"/>
      <c r="G18" s="40"/>
      <c r="H18" s="69"/>
      <c r="I18" s="1"/>
      <c r="J18" s="1"/>
      <c r="K18" s="1"/>
      <c r="L18" s="1"/>
      <c r="M18" s="50"/>
    </row>
    <row r="19" spans="1:13" x14ac:dyDescent="0.2">
      <c r="A19" s="33"/>
      <c r="B19" s="35" t="s">
        <v>22</v>
      </c>
      <c r="C19" s="98">
        <f>0.9*E7</f>
        <v>790.2</v>
      </c>
      <c r="D19" s="1"/>
      <c r="E19" s="1"/>
      <c r="F19" s="1"/>
      <c r="G19" s="40"/>
      <c r="H19" s="69"/>
      <c r="I19" s="1"/>
      <c r="J19" s="1"/>
      <c r="K19" s="1"/>
      <c r="L19" s="1"/>
      <c r="M19" s="50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50"/>
    </row>
    <row r="21" spans="1:13" ht="13.5" thickBot="1" x14ac:dyDescent="0.25">
      <c r="A21" s="26"/>
      <c r="B21" s="106"/>
      <c r="C21" s="88" t="s">
        <v>57</v>
      </c>
      <c r="D21" s="26"/>
      <c r="E21" s="1"/>
      <c r="F21" s="1"/>
      <c r="G21" s="1"/>
      <c r="H21" s="1"/>
      <c r="I21" s="1"/>
      <c r="J21" s="1"/>
      <c r="K21" s="1"/>
      <c r="L21" s="1"/>
      <c r="M21" s="50"/>
    </row>
    <row r="22" spans="1:13" ht="13.5" thickTop="1" x14ac:dyDescent="0.2">
      <c r="A22" s="26"/>
      <c r="B22" s="37" t="s">
        <v>44</v>
      </c>
      <c r="C22" s="90" t="s">
        <v>0</v>
      </c>
      <c r="D22" s="36" t="s">
        <v>45</v>
      </c>
      <c r="E22" s="1"/>
      <c r="F22" s="1"/>
      <c r="G22" s="138" t="s">
        <v>58</v>
      </c>
      <c r="H22" s="139"/>
      <c r="I22" s="139"/>
      <c r="J22" s="140"/>
      <c r="K22" s="1"/>
      <c r="L22" s="1"/>
      <c r="M22" s="50"/>
    </row>
    <row r="23" spans="1:13" x14ac:dyDescent="0.2">
      <c r="A23" s="26"/>
      <c r="B23" s="22">
        <v>5</v>
      </c>
      <c r="C23" s="91">
        <v>205.2</v>
      </c>
      <c r="D23" s="24">
        <v>205.2</v>
      </c>
      <c r="E23" s="1"/>
      <c r="F23" s="1"/>
      <c r="G23" s="141" t="s">
        <v>50</v>
      </c>
      <c r="H23" s="142"/>
      <c r="I23" s="141" t="s">
        <v>51</v>
      </c>
      <c r="J23" s="142"/>
      <c r="K23" s="1"/>
      <c r="L23" s="1"/>
      <c r="M23" s="50"/>
    </row>
    <row r="24" spans="1:13" x14ac:dyDescent="0.2">
      <c r="A24" s="1"/>
      <c r="B24" s="93">
        <v>10</v>
      </c>
      <c r="C24" s="94">
        <v>538.6</v>
      </c>
      <c r="D24" s="95">
        <f>C24+D23</f>
        <v>743.8</v>
      </c>
      <c r="E24" s="1"/>
      <c r="F24" s="1"/>
      <c r="G24" s="99">
        <v>17.5</v>
      </c>
      <c r="H24" s="99">
        <f>G24-5</f>
        <v>12.5</v>
      </c>
      <c r="I24" s="100">
        <v>865.3</v>
      </c>
      <c r="J24" s="101">
        <v>743.8</v>
      </c>
      <c r="K24" s="1"/>
      <c r="L24" s="1"/>
      <c r="M24" s="50"/>
    </row>
    <row r="25" spans="1:13" x14ac:dyDescent="0.2">
      <c r="A25" s="1"/>
      <c r="B25" s="93">
        <v>15</v>
      </c>
      <c r="C25" s="94">
        <v>121.5</v>
      </c>
      <c r="D25" s="95">
        <f>C25+D24</f>
        <v>865.3</v>
      </c>
      <c r="E25" s="1"/>
      <c r="F25" s="1"/>
      <c r="G25" s="31">
        <f>G24</f>
        <v>17.5</v>
      </c>
      <c r="H25" s="96" t="s">
        <v>23</v>
      </c>
      <c r="I25" s="76">
        <f>I24</f>
        <v>865.3</v>
      </c>
      <c r="J25" s="97">
        <f>C19</f>
        <v>790.2</v>
      </c>
      <c r="K25" s="1"/>
      <c r="L25" s="1"/>
      <c r="M25" s="50"/>
    </row>
    <row r="26" spans="1:13" x14ac:dyDescent="0.2">
      <c r="A26" s="1"/>
      <c r="B26" s="22">
        <v>20</v>
      </c>
      <c r="C26" s="91">
        <v>11.7</v>
      </c>
      <c r="D26" s="24">
        <f>C26+D25</f>
        <v>877</v>
      </c>
      <c r="E26" s="1"/>
      <c r="F26" s="1"/>
      <c r="G26" s="1"/>
      <c r="H26" s="1"/>
      <c r="I26" s="1"/>
      <c r="J26" s="1"/>
      <c r="K26" s="1"/>
      <c r="L26" s="1"/>
      <c r="M26" s="50"/>
    </row>
    <row r="27" spans="1:13" x14ac:dyDescent="0.2">
      <c r="A27" s="1"/>
      <c r="B27" s="22">
        <v>25</v>
      </c>
      <c r="C27" s="91">
        <v>1</v>
      </c>
      <c r="D27" s="24">
        <f>C27+D26</f>
        <v>878</v>
      </c>
      <c r="E27" s="1"/>
      <c r="F27" s="1"/>
      <c r="G27" s="77" t="s">
        <v>36</v>
      </c>
      <c r="H27" s="78">
        <f>G25-(G24-H24)*(I25-J25)/(I24-J24)</f>
        <v>14.409465020576135</v>
      </c>
      <c r="I27" s="1"/>
      <c r="J27" s="1"/>
      <c r="K27" s="1"/>
      <c r="L27" s="1"/>
      <c r="M27" s="50"/>
    </row>
    <row r="28" spans="1:13" ht="13.5" thickBot="1" x14ac:dyDescent="0.25">
      <c r="A28" s="1"/>
      <c r="B28" s="16">
        <v>30</v>
      </c>
      <c r="C28" s="92"/>
      <c r="D28" s="25"/>
      <c r="E28" s="1"/>
      <c r="F28" s="1"/>
      <c r="G28" s="1"/>
      <c r="H28" s="1"/>
      <c r="I28" s="1"/>
      <c r="J28" s="1"/>
      <c r="K28" s="13"/>
      <c r="L28" s="1"/>
      <c r="M28" s="50"/>
    </row>
    <row r="29" spans="1:13" ht="13.5" thickTop="1" x14ac:dyDescent="0.2">
      <c r="A29" s="1"/>
      <c r="B29" s="1"/>
      <c r="C29" s="1"/>
      <c r="D29" s="13"/>
      <c r="E29" s="23"/>
      <c r="F29" s="13"/>
      <c r="G29" s="102" t="s">
        <v>53</v>
      </c>
      <c r="H29" s="104"/>
      <c r="I29" s="102" t="s">
        <v>54</v>
      </c>
      <c r="J29" s="1"/>
      <c r="K29" s="13"/>
      <c r="L29" s="1"/>
      <c r="M29" s="50"/>
    </row>
    <row r="30" spans="1:13" x14ac:dyDescent="0.2">
      <c r="A30" s="1"/>
      <c r="B30" s="1"/>
      <c r="C30" s="1"/>
      <c r="D30" s="1"/>
      <c r="E30" s="1"/>
      <c r="F30" s="1"/>
      <c r="G30" s="103" t="s">
        <v>55</v>
      </c>
      <c r="H30" s="105"/>
      <c r="I30" s="102" t="s">
        <v>56</v>
      </c>
      <c r="J30" s="1"/>
      <c r="K30" s="13"/>
      <c r="L30" s="1"/>
      <c r="M30" s="50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9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9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9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9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9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9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9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91" s="1" customFormat="1" x14ac:dyDescent="0.2"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</row>
    <row r="57" spans="1:91" s="1" customFormat="1" x14ac:dyDescent="0.2"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</row>
    <row r="58" spans="1:91" s="1" customFormat="1" x14ac:dyDescent="0.2"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</row>
  </sheetData>
  <mergeCells count="4">
    <mergeCell ref="G22:J22"/>
    <mergeCell ref="G23:H23"/>
    <mergeCell ref="I23:J23"/>
    <mergeCell ref="D1:I1"/>
  </mergeCells>
  <phoneticPr fontId="0" type="noConversion"/>
  <printOptions gridLines="1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0"/>
  <sheetViews>
    <sheetView workbookViewId="0">
      <selection activeCell="J4" sqref="J4"/>
    </sheetView>
  </sheetViews>
  <sheetFormatPr defaultRowHeight="12.75" x14ac:dyDescent="0.2"/>
  <cols>
    <col min="3" max="3" width="8.85546875" style="64" customWidth="1"/>
    <col min="4" max="5" width="8.85546875" style="54" customWidth="1"/>
    <col min="6" max="6" width="8.85546875" style="60" customWidth="1"/>
    <col min="7" max="8" width="8.85546875" style="54" customWidth="1"/>
    <col min="9" max="10" width="8.85546875" style="57" customWidth="1"/>
  </cols>
  <sheetData>
    <row r="1" spans="1:88" ht="13.5" thickBot="1" x14ac:dyDescent="0.25"/>
    <row r="2" spans="1:88" ht="20.100000000000001" customHeight="1" x14ac:dyDescent="0.2">
      <c r="A2" s="82" t="s">
        <v>40</v>
      </c>
      <c r="B2" s="82" t="s">
        <v>11</v>
      </c>
      <c r="C2" s="62" t="s">
        <v>0</v>
      </c>
      <c r="D2" s="51" t="s">
        <v>1</v>
      </c>
      <c r="E2" s="51" t="s">
        <v>3</v>
      </c>
      <c r="F2" s="2" t="s">
        <v>5</v>
      </c>
      <c r="G2" s="51" t="s">
        <v>6</v>
      </c>
      <c r="H2" s="51" t="s">
        <v>23</v>
      </c>
      <c r="I2" s="58" t="s">
        <v>33</v>
      </c>
      <c r="J2" s="58" t="s">
        <v>34</v>
      </c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4.1" customHeight="1" x14ac:dyDescent="0.2">
      <c r="A3" s="3"/>
      <c r="B3" s="83" t="s">
        <v>41</v>
      </c>
      <c r="C3" s="63" t="s">
        <v>8</v>
      </c>
      <c r="D3" s="20" t="s">
        <v>2</v>
      </c>
      <c r="E3" s="20" t="s">
        <v>4</v>
      </c>
      <c r="F3" s="3" t="s">
        <v>9</v>
      </c>
      <c r="G3" s="20" t="s">
        <v>4</v>
      </c>
      <c r="H3" s="55"/>
      <c r="I3" s="59" t="s">
        <v>10</v>
      </c>
      <c r="J3" s="59" t="s">
        <v>10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x14ac:dyDescent="0.2">
      <c r="A4">
        <f>'Observed data + calculus'!C7</f>
        <v>1970</v>
      </c>
      <c r="B4">
        <f>'Observed data + calculus'!D7</f>
        <v>17</v>
      </c>
      <c r="C4" s="64">
        <f>'Observed data + calculus'!E7</f>
        <v>878</v>
      </c>
      <c r="D4" s="54">
        <f>'Observed data + calculus'!F7</f>
        <v>7</v>
      </c>
      <c r="E4" s="54">
        <f>'Observed data + calculus'!G7</f>
        <v>2.5</v>
      </c>
      <c r="F4" s="60">
        <f>'Observed data + calculus'!H7</f>
        <v>7.2</v>
      </c>
      <c r="G4" s="54">
        <f>'Observed data + calculus'!I7</f>
        <v>10.199999999999999</v>
      </c>
      <c r="H4" s="54">
        <f>'Observed data + calculus'!H27</f>
        <v>14.409465020576135</v>
      </c>
      <c r="I4" s="67">
        <v>23.811</v>
      </c>
      <c r="J4" s="132">
        <f>Vol_70!J21</f>
        <v>21.539797133678043</v>
      </c>
    </row>
    <row r="5" spans="1:88" x14ac:dyDescent="0.2">
      <c r="A5">
        <v>1971</v>
      </c>
      <c r="B5">
        <f>B4+(A5-A4)</f>
        <v>18</v>
      </c>
      <c r="C5" s="64">
        <f>C4</f>
        <v>878</v>
      </c>
      <c r="D5" s="56">
        <f>Iqe*(10^(0.380999-2.694076*(B5^(-0.5))))</f>
        <v>7.3031066641203122</v>
      </c>
      <c r="E5" s="56">
        <f>IF(44.99529*((F4^(B4/B5)/C4)^0.5)*EXP(0.062039*(B5-B4)+(1-(B4/B5))*(-6.721703+0.039053*D4))&gt;E4,44.99529*((F4^(B4/B5)/C4)^0.5)*EXP(0.062039*(B5-B4)+(1-(B4/B5))*(-6.721703+0.039053*D4)),E4)</f>
        <v>2.8683523851561201</v>
      </c>
      <c r="F5" s="61">
        <f>(F4^(B4/B5))*EXP((1-(B4/B5))*(4.178774+0.039053*D4))</f>
        <v>8.262698646279409</v>
      </c>
      <c r="G5" s="56">
        <f>SQRT(4/PI()*F5/C5)*100</f>
        <v>10.946335581956598</v>
      </c>
      <c r="H5" s="56">
        <f>154.155144*(((F4^(B4/B5))/C4)^0.5)*EXP(-0.009172*(B5-B4)+(1-(B4/B5))*(2.919335-0.034485*D4))</f>
        <v>15.19465316414084</v>
      </c>
      <c r="I5" s="68"/>
      <c r="J5" s="132">
        <f>Vol_71!J21</f>
        <v>25.638430145992348</v>
      </c>
      <c r="K5" s="107" t="s">
        <v>59</v>
      </c>
    </row>
    <row r="6" spans="1:88" x14ac:dyDescent="0.2">
      <c r="A6">
        <v>1971</v>
      </c>
      <c r="B6">
        <f>B5+(A6-A5)</f>
        <v>18</v>
      </c>
      <c r="C6" s="65">
        <f>(C5*(1-((1-(F6/F5))^0.715054))^0.820574)</f>
        <v>707.97262913676593</v>
      </c>
      <c r="D6" s="54">
        <f>D5</f>
        <v>7.3031066641203122</v>
      </c>
      <c r="E6" s="54">
        <f>0.684456+1.07904*E5</f>
        <v>3.7795229576788598</v>
      </c>
      <c r="F6" s="108">
        <v>7.2</v>
      </c>
      <c r="G6" s="56">
        <f>SQRT(4/PI()*F6/C6)*100</f>
        <v>11.379235189200177</v>
      </c>
      <c r="H6" s="56">
        <f>1.22143+0.981559*H5</f>
        <v>16.135878565140921</v>
      </c>
      <c r="I6" s="67"/>
      <c r="J6" s="132">
        <f>'Vol_71 after thinning'!J21</f>
        <v>24.929210084789464</v>
      </c>
      <c r="K6" s="107" t="s">
        <v>60</v>
      </c>
    </row>
    <row r="7" spans="1:88" x14ac:dyDescent="0.2">
      <c r="A7">
        <v>1975</v>
      </c>
      <c r="B7">
        <f>B6+(A7-A6)</f>
        <v>22</v>
      </c>
      <c r="C7" s="64">
        <f>C6</f>
        <v>707.97262913676593</v>
      </c>
      <c r="D7" s="56">
        <f>Iqe*(10^(0.380999-2.694076*(B7^(-0.5))))</f>
        <v>8.3970843053511608</v>
      </c>
      <c r="E7" s="56">
        <f>IF(44.99529*((F6^(B6/B7)/C6)^0.5)*EXP(0.062039*(B7-B6)+(1-(B6/B7))*(-6.721703+0.039053*D6))&gt;E6,44.99529*((F6^(B6/B7)/C6)^0.5)*EXP(0.062039*(B7-B6)+(1-(B6/B7))*(-6.721703+0.039053*D6)),E6)</f>
        <v>3.7795229576788598</v>
      </c>
      <c r="F7" s="61">
        <f>(F6^(B6/B7))*EXP((1-(B6/B7))*(4.178774+0.039053*D6))</f>
        <v>11.322482318772396</v>
      </c>
      <c r="G7" s="56">
        <f>SQRT(4/PI()*F7/C7)*100</f>
        <v>14.269792270125951</v>
      </c>
      <c r="H7" s="56">
        <f>154.155144*(((F6^(B6/B7))/C6)^0.5)*EXP(-0.009172*(B7-B6)+(1-(B6/B7))*(2.919335-0.034485*D6))</f>
        <v>20.34113339814277</v>
      </c>
      <c r="I7" s="67">
        <v>49.75</v>
      </c>
      <c r="J7" s="132">
        <f>Vol_75!J21</f>
        <v>40.845523955447668</v>
      </c>
    </row>
    <row r="8" spans="1:88" x14ac:dyDescent="0.2">
      <c r="A8">
        <v>1980</v>
      </c>
      <c r="B8">
        <f>B7+(A8-A7)</f>
        <v>27</v>
      </c>
      <c r="C8" s="64">
        <f>C7</f>
        <v>707.97262913676593</v>
      </c>
      <c r="D8" s="56">
        <f>Iqe*(10^(0.380999-2.694076*(B8^(-0.5))))</f>
        <v>9.5506356780849</v>
      </c>
      <c r="E8" s="56">
        <f>IF(44.99529*((F7^(B7/B8)/C7)^0.5)*EXP(0.062039*(B8-B7)+(1-(B7/B8))*(-6.721703+0.039053*D7))&gt;E7,44.99529*((F7^(B7/B8)/C7)^0.5)*EXP(0.062039*(B8-B7)+(1-(B7/B8))*(-6.721703+0.039053*D7)),E7)</f>
        <v>3.7795229576788598</v>
      </c>
      <c r="F8" s="61">
        <f>(F7^(B7/B8))*EXP((1-(B7/B8))*(4.178774+0.039053*D7))</f>
        <v>16.642501905993296</v>
      </c>
      <c r="G8" s="56">
        <f>SQRT(4/PI()*F8/C8)*100</f>
        <v>17.300399545713365</v>
      </c>
      <c r="H8" s="56">
        <f>154.155144*(((F7^(B7/B8))/C7)^0.5)*EXP(-0.009172*(B8-B7)+(1-(B7/B8))*(2.919335-0.034485*D7))</f>
        <v>24.205552402174462</v>
      </c>
      <c r="I8" s="67">
        <v>85.27</v>
      </c>
      <c r="J8" s="132">
        <f>Vol_80!J21</f>
        <v>67.052268619576012</v>
      </c>
    </row>
    <row r="9" spans="1:88" x14ac:dyDescent="0.2">
      <c r="A9">
        <v>1985</v>
      </c>
      <c r="B9">
        <f>B8+(A9-A8)</f>
        <v>32</v>
      </c>
      <c r="C9" s="64">
        <f>C8</f>
        <v>707.97262913676593</v>
      </c>
      <c r="D9" s="56">
        <f>Iqe*(10^(0.380999-2.694076*(B9^(-0.5))))</f>
        <v>10.525860122606412</v>
      </c>
      <c r="E9" s="56">
        <f>IF(44.99529*((F8^(B8/B9)/C8)^0.5)*EXP(0.062039*(B9-B8)+(1-(B8/B9))*(-6.721703+0.039053*D8))&gt;E8,44.99529*((F8^(B8/B9)/C8)^0.5)*EXP(0.062039*(B9-B8)+(1-(B8/B9))*(-6.721703+0.039053*D8)),E8)</f>
        <v>3.7795229576788598</v>
      </c>
      <c r="F9" s="61">
        <f>(F8^(B8/B9))*EXP((1-(B8/B9))*(4.178774+0.039053*D8))</f>
        <v>21.841302304192542</v>
      </c>
      <c r="G9" s="56">
        <f>SQRT(4/PI()*F9/C9)*100</f>
        <v>19.819198637309064</v>
      </c>
      <c r="H9" s="56">
        <f>154.155144*(((F8^(B8/B9))/C8)^0.5)*EXP(-0.009172*(B9-B8)+(1-(B8/B9))*(2.919335-0.034485*D8))</f>
        <v>27.163575001463872</v>
      </c>
      <c r="I9" s="67">
        <v>122.66</v>
      </c>
      <c r="J9" s="132">
        <f>Vol_85!J21</f>
        <v>93.763451310377704</v>
      </c>
    </row>
    <row r="10" spans="1:88" x14ac:dyDescent="0.2">
      <c r="I10" s="66"/>
    </row>
  </sheetData>
  <phoneticPr fontId="0" type="noConversion"/>
  <pageMargins left="0.75" right="0.75" top="1" bottom="1" header="0.5" footer="0.5"/>
  <headerFooter alignWithMargins="0"/>
  <ignoredErrors>
    <ignoredError sqref="H6 C6:E6" formula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2"/>
  <sheetViews>
    <sheetView workbookViewId="0">
      <selection activeCell="J22" sqref="J22"/>
    </sheetView>
  </sheetViews>
  <sheetFormatPr defaultRowHeight="12.75" x14ac:dyDescent="0.2"/>
  <cols>
    <col min="14" max="14" width="12.42578125" bestFit="1" customWidth="1"/>
  </cols>
  <sheetData>
    <row r="1" spans="1:12" x14ac:dyDescent="0.2">
      <c r="A1" s="87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8" t="s">
        <v>11</v>
      </c>
      <c r="B3" s="52">
        <f>Simulation!B4</f>
        <v>17</v>
      </c>
      <c r="C3" s="4"/>
      <c r="D3" s="18" t="s">
        <v>1</v>
      </c>
      <c r="E3" s="53">
        <f>Simulation!D4</f>
        <v>7</v>
      </c>
      <c r="F3" s="4"/>
      <c r="G3" s="15" t="s">
        <v>13</v>
      </c>
      <c r="H3" s="38" t="s">
        <v>14</v>
      </c>
      <c r="I3" s="38" t="s">
        <v>15</v>
      </c>
      <c r="J3" s="39" t="s">
        <v>16</v>
      </c>
      <c r="K3" s="1"/>
      <c r="L3" s="4"/>
    </row>
    <row r="4" spans="1:12" x14ac:dyDescent="0.2">
      <c r="A4" s="35" t="s">
        <v>80</v>
      </c>
      <c r="B4" s="53">
        <f>'Observed data + calculus'!D14</f>
        <v>13.107155341529637</v>
      </c>
      <c r="C4" s="4"/>
      <c r="D4" s="18" t="s">
        <v>0</v>
      </c>
      <c r="E4" s="31">
        <f>Simulation!C4</f>
        <v>878</v>
      </c>
      <c r="F4" s="4"/>
      <c r="G4" s="16"/>
      <c r="H4" s="20">
        <f>0.9*E6</f>
        <v>2.25</v>
      </c>
      <c r="I4" s="20">
        <f>(E8-H4)/(2.99573^(1/J4))</f>
        <v>8.5055396233743892</v>
      </c>
      <c r="J4" s="17">
        <v>3.07</v>
      </c>
      <c r="K4" s="1"/>
      <c r="L4" s="4"/>
    </row>
    <row r="5" spans="1:12" x14ac:dyDescent="0.2">
      <c r="A5" s="40"/>
      <c r="B5" s="10"/>
      <c r="C5" s="4"/>
      <c r="D5" s="18" t="s">
        <v>5</v>
      </c>
      <c r="E5" s="31">
        <f>Simulation!F4</f>
        <v>7.2</v>
      </c>
      <c r="F5" s="4"/>
      <c r="G5" s="13"/>
      <c r="H5" s="10"/>
      <c r="I5" s="10"/>
      <c r="J5" s="10"/>
      <c r="K5" s="1"/>
      <c r="L5" s="4"/>
    </row>
    <row r="6" spans="1:12" x14ac:dyDescent="0.2">
      <c r="A6" s="40"/>
      <c r="B6" s="10"/>
      <c r="C6" s="4"/>
      <c r="D6" s="21" t="s">
        <v>3</v>
      </c>
      <c r="E6" s="53">
        <f>Simulation!E4</f>
        <v>2.5</v>
      </c>
      <c r="F6" s="4"/>
      <c r="G6" s="13"/>
      <c r="H6" s="10"/>
      <c r="I6" s="10"/>
      <c r="J6" s="10"/>
      <c r="K6" s="1"/>
      <c r="L6" s="4"/>
    </row>
    <row r="7" spans="1:12" x14ac:dyDescent="0.2">
      <c r="A7" s="40"/>
      <c r="B7" s="10"/>
      <c r="C7" s="4"/>
      <c r="D7" s="21" t="s">
        <v>6</v>
      </c>
      <c r="E7" s="53">
        <f>Simulation!G4</f>
        <v>10.199999999999999</v>
      </c>
      <c r="F7" s="4"/>
      <c r="G7" s="13"/>
      <c r="H7" s="10"/>
      <c r="I7" s="10"/>
      <c r="J7" s="10"/>
      <c r="K7" s="1"/>
      <c r="L7" s="4"/>
    </row>
    <row r="8" spans="1:12" x14ac:dyDescent="0.2">
      <c r="A8" s="40"/>
      <c r="B8" s="10"/>
      <c r="C8" s="4"/>
      <c r="D8" s="21" t="s">
        <v>23</v>
      </c>
      <c r="E8" s="53">
        <f>Simulation!H4</f>
        <v>14.409465020576135</v>
      </c>
      <c r="F8" s="4"/>
      <c r="G8" s="13"/>
      <c r="H8" s="10"/>
      <c r="I8" s="10"/>
      <c r="J8" s="10"/>
      <c r="K8" s="1"/>
      <c r="L8" s="4"/>
    </row>
    <row r="9" spans="1:12" x14ac:dyDescent="0.2">
      <c r="A9" s="4"/>
      <c r="B9" s="4"/>
      <c r="C9" s="4"/>
      <c r="D9" s="4"/>
      <c r="E9" s="4"/>
      <c r="F9" s="1"/>
      <c r="G9" s="1"/>
      <c r="H9" s="1"/>
      <c r="I9" s="1"/>
      <c r="J9" s="1"/>
      <c r="K9" s="1"/>
      <c r="L9" s="1"/>
    </row>
    <row r="10" spans="1:12" x14ac:dyDescent="0.2">
      <c r="A10" s="33"/>
      <c r="B10" s="114" t="s">
        <v>70</v>
      </c>
      <c r="C10" s="4"/>
      <c r="D10" s="4"/>
      <c r="E10" s="4"/>
      <c r="F10" s="1"/>
      <c r="G10" s="1"/>
      <c r="H10" s="1"/>
      <c r="I10" s="1"/>
      <c r="J10" s="1"/>
      <c r="L10" s="1"/>
    </row>
    <row r="11" spans="1:12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ht="13.5" thickTop="1" x14ac:dyDescent="0.2">
      <c r="A12" s="115" t="s">
        <v>68</v>
      </c>
      <c r="B12" s="116" t="s">
        <v>32</v>
      </c>
      <c r="C12" s="116" t="s">
        <v>31</v>
      </c>
      <c r="D12" s="38" t="s">
        <v>13</v>
      </c>
      <c r="E12" s="38" t="s">
        <v>78</v>
      </c>
      <c r="F12" s="109" t="s">
        <v>0</v>
      </c>
      <c r="G12" s="38" t="s">
        <v>5</v>
      </c>
      <c r="H12" s="38" t="s">
        <v>24</v>
      </c>
      <c r="I12" s="38" t="s">
        <v>37</v>
      </c>
      <c r="J12" s="38" t="s">
        <v>7</v>
      </c>
      <c r="K12" s="1"/>
      <c r="L12" s="1"/>
    </row>
    <row r="13" spans="1:12" ht="14.25" x14ac:dyDescent="0.2">
      <c r="A13" s="118" t="s">
        <v>69</v>
      </c>
      <c r="B13" s="117" t="s">
        <v>4</v>
      </c>
      <c r="C13" s="117" t="s">
        <v>4</v>
      </c>
      <c r="D13" s="41" t="s">
        <v>77</v>
      </c>
      <c r="E13" s="41" t="s">
        <v>26</v>
      </c>
      <c r="F13" s="110" t="s">
        <v>26</v>
      </c>
      <c r="G13" s="41" t="s">
        <v>29</v>
      </c>
      <c r="H13" s="41" t="s">
        <v>2</v>
      </c>
      <c r="I13" s="41" t="s">
        <v>79</v>
      </c>
      <c r="J13" s="41" t="s">
        <v>30</v>
      </c>
      <c r="K13" s="119"/>
      <c r="L13" s="1"/>
    </row>
    <row r="14" spans="1:12" x14ac:dyDescent="0.2">
      <c r="A14" s="121" t="s">
        <v>17</v>
      </c>
      <c r="B14" s="4">
        <v>5</v>
      </c>
      <c r="C14" s="29">
        <v>7.5</v>
      </c>
      <c r="D14" s="28">
        <f>1-EXP(-1*(((C14-H$4)/I$4)^J$4))</f>
        <v>0.20336199282716805</v>
      </c>
      <c r="E14" s="5">
        <f>D14*E$4</f>
        <v>178.55182970225354</v>
      </c>
      <c r="F14" s="111">
        <f>E14</f>
        <v>178.55182970225354</v>
      </c>
      <c r="G14" s="5">
        <f t="shared" ref="G14:G20" si="0">(B14^2*3.1415927/4*F14)/10000</f>
        <v>0.35058570297765179</v>
      </c>
      <c r="H14" s="5">
        <f>IF(G14 &lt; 0.01, 0,1.891036*(E$3^0.890695)*(E$5^-0.146749)*(E$4^0.075548)*(EXP(2.000723*(B$3^-1)-11.96184*(B14^-1))))</f>
        <v>1.3743791252351527</v>
      </c>
      <c r="I14" s="125">
        <f>IF(H14 = 0, 0, (3.1415927*(B14^2)*H14/40000*0.336*EXP((0.94/H14)+(3.79/B14))))</f>
        <v>3.8344631270741422E-3</v>
      </c>
      <c r="J14" s="123">
        <f>F14*I14</f>
        <v>0.68465040726491277</v>
      </c>
      <c r="K14" s="119"/>
      <c r="L14" s="1"/>
    </row>
    <row r="15" spans="1:12" x14ac:dyDescent="0.2">
      <c r="A15" s="121" t="s">
        <v>18</v>
      </c>
      <c r="B15" s="4">
        <v>10</v>
      </c>
      <c r="C15" s="29">
        <v>12.5</v>
      </c>
      <c r="D15" s="28">
        <f t="shared" ref="D15:D20" si="1">1-EXP(-1*(((C15-H$4)/I$4)^J$4))</f>
        <v>0.83019719967780503</v>
      </c>
      <c r="E15" s="5">
        <f t="shared" ref="E15:E20" si="2">D15*E$4</f>
        <v>728.91314131711283</v>
      </c>
      <c r="F15" s="111">
        <f>E15-E14</f>
        <v>550.36131161485923</v>
      </c>
      <c r="G15" s="5">
        <f t="shared" si="0"/>
        <v>4.3225276973291669</v>
      </c>
      <c r="H15" s="5">
        <f t="shared" ref="H15:H20" si="3">IF(G15 &lt; 0.01, 0,1.891036*(E$3^0.890695)*(E$5^-0.146749)*(E$4^0.075548)*(EXP(2.000723*(B$3^-1)-11.96184*(B15^-1))))</f>
        <v>4.545719786047405</v>
      </c>
      <c r="I15" s="125">
        <f>IF(H15 = 0, 0, (3.1415927*(B15^2)*H15/40000*0.336*EXP((0.94/H15)+(3.79/B15))))</f>
        <v>2.1549455095820624E-2</v>
      </c>
      <c r="J15" s="123">
        <f t="shared" ref="J15:J20" si="4">F15*I15</f>
        <v>11.859986371121352</v>
      </c>
      <c r="K15" s="119"/>
      <c r="L15" s="1"/>
    </row>
    <row r="16" spans="1:12" x14ac:dyDescent="0.2">
      <c r="A16" s="121" t="s">
        <v>19</v>
      </c>
      <c r="B16" s="4">
        <v>15</v>
      </c>
      <c r="C16" s="29">
        <v>17.5</v>
      </c>
      <c r="D16" s="28">
        <f t="shared" si="1"/>
        <v>0.99753158633306749</v>
      </c>
      <c r="E16" s="5">
        <f t="shared" si="2"/>
        <v>875.83273280043329</v>
      </c>
      <c r="F16" s="111">
        <f t="shared" ref="F16:F20" si="5">E16-E15</f>
        <v>146.91959148332046</v>
      </c>
      <c r="G16" s="5">
        <f t="shared" si="0"/>
        <v>2.5962835280117726</v>
      </c>
      <c r="H16" s="5">
        <f t="shared" si="3"/>
        <v>6.7727965666871501</v>
      </c>
      <c r="I16" s="125">
        <f t="shared" ref="I16:I20" si="6">IF(H16 = 0, 0, (3.1415927*(B16^2)*H16/40000*0.336*EXP((0.94/H16)+(3.79/B16))))</f>
        <v>5.9482253437980366E-2</v>
      </c>
      <c r="J16" s="123">
        <f t="shared" si="4"/>
        <v>8.7391083756154089</v>
      </c>
      <c r="K16" s="119"/>
      <c r="L16" s="1"/>
    </row>
    <row r="17" spans="1:14" x14ac:dyDescent="0.2">
      <c r="A17" s="121" t="s">
        <v>20</v>
      </c>
      <c r="B17" s="4">
        <v>20</v>
      </c>
      <c r="C17" s="29">
        <v>22.5</v>
      </c>
      <c r="D17" s="28">
        <f t="shared" si="1"/>
        <v>0.9999994079653749</v>
      </c>
      <c r="E17" s="5">
        <f t="shared" si="2"/>
        <v>877.9994801935992</v>
      </c>
      <c r="F17" s="111">
        <f t="shared" si="5"/>
        <v>2.166747393165906</v>
      </c>
      <c r="G17" s="5">
        <f t="shared" si="0"/>
        <v>6.8070377931140402E-2</v>
      </c>
      <c r="H17" s="5">
        <f t="shared" si="3"/>
        <v>8.2670528890225619</v>
      </c>
      <c r="I17" s="125">
        <f t="shared" si="6"/>
        <v>0.11817343382250317</v>
      </c>
      <c r="J17" s="123">
        <f t="shared" si="4"/>
        <v>0.25605197967637244</v>
      </c>
      <c r="K17" s="119"/>
      <c r="L17" s="1"/>
      <c r="N17" s="107"/>
    </row>
    <row r="18" spans="1:14" x14ac:dyDescent="0.2">
      <c r="A18" s="121" t="s">
        <v>21</v>
      </c>
      <c r="B18" s="27">
        <v>25</v>
      </c>
      <c r="C18" s="29">
        <v>27.5</v>
      </c>
      <c r="D18" s="28">
        <f t="shared" si="1"/>
        <v>0.99999999999945233</v>
      </c>
      <c r="E18" s="5">
        <f t="shared" si="2"/>
        <v>877.9999999995191</v>
      </c>
      <c r="F18" s="111">
        <f t="shared" si="5"/>
        <v>5.1980591990741232E-4</v>
      </c>
      <c r="G18" s="5">
        <f t="shared" si="0"/>
        <v>2.5515913803092361E-5</v>
      </c>
      <c r="H18" s="5">
        <f t="shared" si="3"/>
        <v>0</v>
      </c>
      <c r="I18" s="125">
        <f t="shared" si="6"/>
        <v>0</v>
      </c>
      <c r="J18" s="123">
        <f t="shared" si="4"/>
        <v>0</v>
      </c>
      <c r="K18" s="119"/>
      <c r="L18" s="1"/>
    </row>
    <row r="19" spans="1:14" x14ac:dyDescent="0.2">
      <c r="A19" s="121" t="s">
        <v>27</v>
      </c>
      <c r="B19" s="27">
        <v>30</v>
      </c>
      <c r="C19" s="29">
        <v>32.5</v>
      </c>
      <c r="D19" s="28">
        <f t="shared" si="1"/>
        <v>1</v>
      </c>
      <c r="E19" s="5">
        <f t="shared" si="2"/>
        <v>878</v>
      </c>
      <c r="F19" s="111">
        <f t="shared" si="5"/>
        <v>4.8089532356243581E-10</v>
      </c>
      <c r="G19" s="5">
        <f t="shared" si="0"/>
        <v>3.3992487854277445E-11</v>
      </c>
      <c r="H19" s="5">
        <f t="shared" si="3"/>
        <v>0</v>
      </c>
      <c r="I19" s="125">
        <f t="shared" si="6"/>
        <v>0</v>
      </c>
      <c r="J19" s="123">
        <f t="shared" si="4"/>
        <v>0</v>
      </c>
      <c r="K19" s="120"/>
      <c r="L19" s="1"/>
    </row>
    <row r="20" spans="1:14" x14ac:dyDescent="0.2">
      <c r="A20" s="122" t="s">
        <v>28</v>
      </c>
      <c r="B20" s="45">
        <v>35</v>
      </c>
      <c r="C20" s="46">
        <v>37.5</v>
      </c>
      <c r="D20" s="47">
        <f t="shared" si="1"/>
        <v>1</v>
      </c>
      <c r="E20" s="48">
        <f t="shared" si="2"/>
        <v>878</v>
      </c>
      <c r="F20" s="112">
        <f t="shared" si="5"/>
        <v>0</v>
      </c>
      <c r="G20" s="48">
        <f t="shared" si="0"/>
        <v>0</v>
      </c>
      <c r="H20" s="48">
        <f t="shared" si="3"/>
        <v>0</v>
      </c>
      <c r="I20" s="126">
        <f t="shared" si="6"/>
        <v>0</v>
      </c>
      <c r="J20" s="124">
        <f t="shared" si="4"/>
        <v>0</v>
      </c>
      <c r="K20" s="19"/>
      <c r="L20" s="1"/>
    </row>
    <row r="21" spans="1:14" ht="13.5" thickBot="1" x14ac:dyDescent="0.25">
      <c r="B21" s="26"/>
      <c r="C21" s="26"/>
      <c r="D21" s="10"/>
      <c r="E21" s="88" t="s">
        <v>76</v>
      </c>
      <c r="F21" s="113">
        <f>SUM(F14:F20)</f>
        <v>878</v>
      </c>
      <c r="G21" s="10">
        <f>SUM(G14:G20)</f>
        <v>7.3374928221975271</v>
      </c>
      <c r="H21" s="42">
        <f>SUM(H25:H31)/F21</f>
        <v>4.28263705156236</v>
      </c>
      <c r="I21" s="127"/>
      <c r="J21" s="43">
        <f>SUM(J14:J20)</f>
        <v>21.539797133678043</v>
      </c>
      <c r="K21" s="1"/>
      <c r="L21" s="1"/>
    </row>
    <row r="22" spans="1:14" ht="13.5" thickTop="1" x14ac:dyDescent="0.2">
      <c r="A22" s="30"/>
      <c r="B22" s="1"/>
      <c r="C22" s="1"/>
      <c r="D22" s="1"/>
      <c r="E22" s="1"/>
      <c r="F22" s="1"/>
      <c r="G22" s="1"/>
      <c r="H22" s="1"/>
      <c r="I22" s="128"/>
      <c r="J22" s="1"/>
      <c r="K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28"/>
      <c r="J23" s="1"/>
      <c r="K23" s="1"/>
      <c r="L23" s="1"/>
    </row>
    <row r="24" spans="1:14" ht="13.5" thickBot="1" x14ac:dyDescent="0.25">
      <c r="A24" s="1"/>
      <c r="B24" s="1"/>
      <c r="C24" s="1"/>
      <c r="D24" s="1"/>
      <c r="E24" s="1"/>
      <c r="F24" s="1"/>
      <c r="G24" s="1"/>
      <c r="H24" s="1"/>
      <c r="I24" s="128"/>
      <c r="J24" s="1"/>
      <c r="K24" s="1"/>
      <c r="L24" s="1"/>
    </row>
    <row r="25" spans="1:14" x14ac:dyDescent="0.2">
      <c r="A25" s="119"/>
      <c r="B25" s="119"/>
      <c r="C25" s="119"/>
      <c r="D25" s="119"/>
      <c r="E25" s="119"/>
      <c r="F25" s="119"/>
      <c r="G25" s="119"/>
      <c r="H25" s="146">
        <f>F14*H14</f>
        <v>245.39790751531919</v>
      </c>
      <c r="I25" s="129"/>
      <c r="J25" s="119"/>
      <c r="K25" s="119"/>
      <c r="L25" s="119"/>
    </row>
    <row r="26" spans="1:14" x14ac:dyDescent="0.2">
      <c r="A26" s="119"/>
      <c r="B26" s="119"/>
      <c r="C26" s="119"/>
      <c r="D26" s="119"/>
      <c r="E26" s="119"/>
      <c r="F26" s="119"/>
      <c r="G26" s="119"/>
      <c r="H26" s="147">
        <f>F15*H15</f>
        <v>2501.788303682667</v>
      </c>
      <c r="I26" s="129"/>
      <c r="J26" s="119"/>
      <c r="K26" s="119"/>
      <c r="L26" s="119"/>
    </row>
    <row r="27" spans="1:14" x14ac:dyDescent="0.2">
      <c r="A27" s="119"/>
      <c r="B27" s="119"/>
      <c r="C27" s="119"/>
      <c r="D27" s="119"/>
      <c r="E27" s="119"/>
      <c r="F27" s="119"/>
      <c r="G27" s="145" t="s">
        <v>25</v>
      </c>
      <c r="H27" s="147">
        <f>F16*H16</f>
        <v>995.05650477731149</v>
      </c>
      <c r="I27" s="129"/>
      <c r="J27" s="119"/>
      <c r="K27" s="119"/>
      <c r="L27" s="119"/>
    </row>
    <row r="28" spans="1:14" x14ac:dyDescent="0.2">
      <c r="A28" s="119"/>
      <c r="B28" s="119"/>
      <c r="C28" s="119"/>
      <c r="D28" s="119"/>
      <c r="E28" s="119"/>
      <c r="F28" s="119"/>
      <c r="G28" s="119"/>
      <c r="H28" s="147">
        <f>F17*H17</f>
        <v>17.912615296454309</v>
      </c>
      <c r="I28" s="119"/>
      <c r="J28" s="119"/>
      <c r="K28" s="119"/>
      <c r="L28" s="119"/>
    </row>
    <row r="29" spans="1:14" x14ac:dyDescent="0.2">
      <c r="A29" s="119"/>
      <c r="B29" s="119"/>
      <c r="C29" s="119"/>
      <c r="D29" s="119"/>
      <c r="E29" s="119"/>
      <c r="F29" s="119"/>
      <c r="G29" s="119"/>
      <c r="H29" s="147">
        <f>F18*H18</f>
        <v>0</v>
      </c>
      <c r="I29" s="119"/>
      <c r="J29" s="119"/>
      <c r="K29" s="119"/>
      <c r="L29" s="119"/>
    </row>
    <row r="30" spans="1:14" x14ac:dyDescent="0.2">
      <c r="A30" s="119"/>
      <c r="B30" s="119"/>
      <c r="C30" s="119"/>
      <c r="D30" s="119"/>
      <c r="E30" s="119"/>
      <c r="F30" s="119"/>
      <c r="G30" s="119"/>
      <c r="H30" s="147">
        <f t="shared" ref="H30:H31" si="7">F19*H19</f>
        <v>0</v>
      </c>
      <c r="I30" s="119"/>
      <c r="J30" s="119"/>
      <c r="K30" s="119"/>
      <c r="L30" s="119"/>
    </row>
    <row r="31" spans="1:14" ht="13.5" thickBot="1" x14ac:dyDescent="0.25">
      <c r="A31" s="119"/>
      <c r="B31" s="119"/>
      <c r="C31" s="119"/>
      <c r="D31" s="119"/>
      <c r="E31" s="119"/>
      <c r="F31" s="119"/>
      <c r="G31" s="119"/>
      <c r="H31" s="148">
        <f t="shared" si="7"/>
        <v>0</v>
      </c>
      <c r="I31" s="119"/>
      <c r="J31" s="119"/>
      <c r="K31" s="119"/>
      <c r="L31" s="119"/>
    </row>
    <row r="32" spans="1:14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phoneticPr fontId="0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workbookViewId="0">
      <selection activeCell="J22" sqref="J22"/>
    </sheetView>
  </sheetViews>
  <sheetFormatPr defaultRowHeight="12.75" x14ac:dyDescent="0.2"/>
  <sheetData>
    <row r="1" spans="1:12" x14ac:dyDescent="0.2">
      <c r="A1" s="87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8" t="s">
        <v>11</v>
      </c>
      <c r="B3" s="52">
        <f>Simulation!B5</f>
        <v>18</v>
      </c>
      <c r="C3" s="4"/>
      <c r="D3" s="18" t="s">
        <v>1</v>
      </c>
      <c r="E3" s="53">
        <f>Simulation!D5</f>
        <v>7.3031066641203122</v>
      </c>
      <c r="F3" s="4"/>
      <c r="G3" s="15" t="s">
        <v>13</v>
      </c>
      <c r="H3" s="38" t="s">
        <v>14</v>
      </c>
      <c r="I3" s="38" t="s">
        <v>15</v>
      </c>
      <c r="J3" s="39" t="s">
        <v>16</v>
      </c>
      <c r="K3" s="1"/>
      <c r="L3" s="4"/>
    </row>
    <row r="4" spans="1:12" x14ac:dyDescent="0.2">
      <c r="A4" s="35" t="s">
        <v>12</v>
      </c>
      <c r="B4" s="53">
        <f>'Observed data + calculus'!D14</f>
        <v>13.107155341529637</v>
      </c>
      <c r="C4" s="4"/>
      <c r="D4" s="18" t="s">
        <v>0</v>
      </c>
      <c r="E4" s="31">
        <f>Simulation!C5</f>
        <v>878</v>
      </c>
      <c r="F4" s="4"/>
      <c r="G4" s="16"/>
      <c r="H4" s="20">
        <f>0.9*E6</f>
        <v>2.581517146640508</v>
      </c>
      <c r="I4" s="20">
        <f>(E8-H4)/(2.99573^(1/J4))</f>
        <v>8.9519159344249424</v>
      </c>
      <c r="J4" s="17">
        <v>3.2</v>
      </c>
      <c r="K4" s="1"/>
      <c r="L4" s="4"/>
    </row>
    <row r="5" spans="1:12" x14ac:dyDescent="0.2">
      <c r="A5" s="40"/>
      <c r="B5" s="10"/>
      <c r="C5" s="4"/>
      <c r="D5" s="18" t="s">
        <v>5</v>
      </c>
      <c r="E5" s="53">
        <f>Simulation!F5</f>
        <v>8.262698646279409</v>
      </c>
      <c r="F5" s="4"/>
      <c r="G5" s="13"/>
      <c r="H5" s="10"/>
      <c r="I5" s="10"/>
      <c r="J5" s="10"/>
      <c r="K5" s="1"/>
      <c r="L5" s="4"/>
    </row>
    <row r="6" spans="1:12" x14ac:dyDescent="0.2">
      <c r="A6" s="40"/>
      <c r="B6" s="10"/>
      <c r="C6" s="4"/>
      <c r="D6" s="21" t="s">
        <v>3</v>
      </c>
      <c r="E6" s="53">
        <f>Simulation!E5</f>
        <v>2.8683523851561201</v>
      </c>
      <c r="F6" s="4"/>
      <c r="G6" s="13"/>
      <c r="H6" s="10"/>
      <c r="I6" s="10"/>
      <c r="J6" s="10"/>
      <c r="K6" s="1"/>
      <c r="L6" s="4"/>
    </row>
    <row r="7" spans="1:12" x14ac:dyDescent="0.2">
      <c r="A7" s="40"/>
      <c r="B7" s="10"/>
      <c r="C7" s="4"/>
      <c r="D7" s="21" t="s">
        <v>6</v>
      </c>
      <c r="E7" s="53">
        <f>Simulation!G5</f>
        <v>10.946335581956598</v>
      </c>
      <c r="F7" s="4"/>
      <c r="G7" s="13"/>
      <c r="H7" s="10"/>
      <c r="I7" s="10"/>
      <c r="J7" s="10"/>
      <c r="K7" s="1"/>
      <c r="L7" s="4"/>
    </row>
    <row r="8" spans="1:12" x14ac:dyDescent="0.2">
      <c r="A8" s="40"/>
      <c r="B8" s="10"/>
      <c r="C8" s="4"/>
      <c r="D8" s="21" t="s">
        <v>23</v>
      </c>
      <c r="E8" s="53">
        <f>Simulation!H5</f>
        <v>15.19465316414084</v>
      </c>
      <c r="F8" s="4"/>
      <c r="G8" s="13"/>
      <c r="H8" s="10"/>
      <c r="I8" s="10"/>
      <c r="J8" s="10"/>
      <c r="K8" s="1"/>
      <c r="L8" s="4"/>
    </row>
    <row r="9" spans="1:12" x14ac:dyDescent="0.2">
      <c r="A9" s="4"/>
      <c r="B9" s="4"/>
      <c r="C9" s="4"/>
      <c r="D9" s="4"/>
      <c r="E9" s="4"/>
      <c r="F9" s="1"/>
      <c r="G9" s="1"/>
      <c r="H9" s="1"/>
      <c r="I9" s="1"/>
      <c r="J9" s="1"/>
      <c r="K9" s="1"/>
      <c r="L9" s="1"/>
    </row>
    <row r="10" spans="1:12" x14ac:dyDescent="0.2">
      <c r="A10" s="33"/>
      <c r="B10" s="114" t="s">
        <v>71</v>
      </c>
      <c r="C10" s="4"/>
      <c r="D10" s="4"/>
      <c r="E10" s="4"/>
      <c r="F10" s="1"/>
      <c r="G10" s="1"/>
      <c r="H10" s="1"/>
      <c r="I10" s="1"/>
      <c r="J10" s="1"/>
      <c r="L10" s="1"/>
    </row>
    <row r="11" spans="1:12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ht="13.5" thickTop="1" x14ac:dyDescent="0.2">
      <c r="A12" s="115" t="s">
        <v>68</v>
      </c>
      <c r="B12" s="116" t="s">
        <v>32</v>
      </c>
      <c r="C12" s="116" t="s">
        <v>31</v>
      </c>
      <c r="D12" s="38" t="s">
        <v>13</v>
      </c>
      <c r="E12" s="38" t="s">
        <v>78</v>
      </c>
      <c r="F12" s="109" t="s">
        <v>0</v>
      </c>
      <c r="G12" s="38" t="s">
        <v>5</v>
      </c>
      <c r="H12" s="38" t="s">
        <v>24</v>
      </c>
      <c r="I12" s="38" t="s">
        <v>37</v>
      </c>
      <c r="J12" s="38" t="s">
        <v>7</v>
      </c>
      <c r="K12" s="1"/>
      <c r="L12" s="1"/>
    </row>
    <row r="13" spans="1:12" ht="14.25" x14ac:dyDescent="0.2">
      <c r="A13" s="118" t="s">
        <v>69</v>
      </c>
      <c r="B13" s="117" t="s">
        <v>4</v>
      </c>
      <c r="C13" s="117" t="s">
        <v>4</v>
      </c>
      <c r="D13" s="41" t="s">
        <v>77</v>
      </c>
      <c r="E13" s="41" t="s">
        <v>26</v>
      </c>
      <c r="F13" s="110" t="s">
        <v>26</v>
      </c>
      <c r="G13" s="41" t="s">
        <v>29</v>
      </c>
      <c r="H13" s="41" t="s">
        <v>2</v>
      </c>
      <c r="I13" s="41" t="s">
        <v>79</v>
      </c>
      <c r="J13" s="41" t="s">
        <v>30</v>
      </c>
      <c r="K13" s="26"/>
      <c r="L13" s="1"/>
    </row>
    <row r="14" spans="1:12" x14ac:dyDescent="0.2">
      <c r="A14" s="32" t="s">
        <v>17</v>
      </c>
      <c r="B14" s="4">
        <v>5</v>
      </c>
      <c r="C14" s="29">
        <v>7.5</v>
      </c>
      <c r="D14" s="28">
        <f t="shared" ref="D14:D20" si="0">1-EXP(-1*(((C14-H$4)/I$4)^J$4))</f>
        <v>0.13682622640656483</v>
      </c>
      <c r="E14" s="5">
        <f t="shared" ref="E14:E20" si="1">D14*E$4</f>
        <v>120.13342678496392</v>
      </c>
      <c r="F14" s="111">
        <f>E14</f>
        <v>120.13342678496392</v>
      </c>
      <c r="G14" s="5">
        <f t="shared" ref="G14:G20" si="2">(B14^2*3.1415927/4*F14)/10000</f>
        <v>0.23588143538351691</v>
      </c>
      <c r="H14" s="5">
        <f t="shared" ref="H14:H20" si="3">IF(G14 &lt; 0.01, 0,1.891036*(E$3^0.890695)*(E$5^-0.146749)*(E$4^0.075548)*(EXP(2.000723*(B$3^-1)-11.96184*(B14^-1))))</f>
        <v>1.389601591594575</v>
      </c>
      <c r="I14" s="125">
        <f>IF(H14 = 0, 0, (3.1415927*(B14^2)*H14/40000*0.336*EXP((0.94/H14)+(3.79/B14))))</f>
        <v>3.8479945427892662E-3</v>
      </c>
      <c r="J14" s="123">
        <f>F14*I14</f>
        <v>0.46227277067511502</v>
      </c>
      <c r="K14" s="19"/>
      <c r="L14" s="1"/>
    </row>
    <row r="15" spans="1:12" x14ac:dyDescent="0.2">
      <c r="A15" s="32" t="s">
        <v>18</v>
      </c>
      <c r="B15" s="4">
        <v>10</v>
      </c>
      <c r="C15" s="29">
        <v>12.5</v>
      </c>
      <c r="D15" s="28">
        <f t="shared" si="0"/>
        <v>0.75050910762142031</v>
      </c>
      <c r="E15" s="5">
        <f t="shared" si="1"/>
        <v>658.94699649160702</v>
      </c>
      <c r="F15" s="111">
        <f t="shared" ref="F15:F20" si="4">E15-E14</f>
        <v>538.81356970664308</v>
      </c>
      <c r="G15" s="5">
        <f t="shared" si="2"/>
        <v>4.231831943128328</v>
      </c>
      <c r="H15" s="5">
        <f t="shared" si="3"/>
        <v>4.5960676596813466</v>
      </c>
      <c r="I15" s="125">
        <f t="shared" ref="I15:I20" si="5">IF(H15 = 0, 0, (3.1415927*(B15^2)*H15/40000*0.336*EXP((0.94/H15)+(3.79/B15))))</f>
        <v>2.1738834261238297E-2</v>
      </c>
      <c r="J15" s="123">
        <f t="shared" ref="J15:J20" si="6">F15*I15</f>
        <v>11.713178889558883</v>
      </c>
      <c r="K15" s="19"/>
      <c r="L15" s="1"/>
    </row>
    <row r="16" spans="1:12" x14ac:dyDescent="0.2">
      <c r="A16" s="32" t="s">
        <v>19</v>
      </c>
      <c r="B16" s="4">
        <v>15</v>
      </c>
      <c r="C16" s="29">
        <v>17.5</v>
      </c>
      <c r="D16" s="28">
        <f t="shared" si="0"/>
        <v>0.99406036556887434</v>
      </c>
      <c r="E16" s="5">
        <f t="shared" si="1"/>
        <v>872.78500096947164</v>
      </c>
      <c r="F16" s="111">
        <f t="shared" si="4"/>
        <v>213.83800447786462</v>
      </c>
      <c r="G16" s="5">
        <f t="shared" si="2"/>
        <v>3.7788295154075255</v>
      </c>
      <c r="H16" s="5">
        <f t="shared" si="3"/>
        <v>6.8478112886096527</v>
      </c>
      <c r="I16" s="125">
        <f t="shared" si="5"/>
        <v>6.0049703777367541E-2</v>
      </c>
      <c r="J16" s="123">
        <f t="shared" si="6"/>
        <v>12.840908825239165</v>
      </c>
      <c r="K16" s="19"/>
      <c r="L16" s="1"/>
    </row>
    <row r="17" spans="1:12" x14ac:dyDescent="0.2">
      <c r="A17" s="32" t="s">
        <v>20</v>
      </c>
      <c r="B17" s="4">
        <v>20</v>
      </c>
      <c r="C17" s="29">
        <v>22.5</v>
      </c>
      <c r="D17" s="28">
        <f t="shared" si="0"/>
        <v>0.99999756784941574</v>
      </c>
      <c r="E17" s="5">
        <f t="shared" si="1"/>
        <v>877.99786457178698</v>
      </c>
      <c r="F17" s="111">
        <f t="shared" si="4"/>
        <v>5.2128636023153376</v>
      </c>
      <c r="G17" s="5">
        <f t="shared" si="2"/>
        <v>0.16376694239129566</v>
      </c>
      <c r="H17" s="5">
        <f t="shared" si="3"/>
        <v>8.358617823460273</v>
      </c>
      <c r="I17" s="125">
        <f t="shared" si="5"/>
        <v>0.11933357708474955</v>
      </c>
      <c r="J17" s="123">
        <f t="shared" si="6"/>
        <v>0.62206966051918255</v>
      </c>
      <c r="K17" s="19"/>
      <c r="L17" s="1"/>
    </row>
    <row r="18" spans="1:12" x14ac:dyDescent="0.2">
      <c r="A18" s="32" t="s">
        <v>21</v>
      </c>
      <c r="B18" s="27">
        <v>25</v>
      </c>
      <c r="C18" s="29">
        <v>27.5</v>
      </c>
      <c r="D18" s="28">
        <f t="shared" si="0"/>
        <v>0.99999999999680367</v>
      </c>
      <c r="E18" s="5">
        <f t="shared" si="1"/>
        <v>877.99999999719364</v>
      </c>
      <c r="F18" s="111">
        <f t="shared" si="4"/>
        <v>2.1354254066636713E-3</v>
      </c>
      <c r="G18" s="5">
        <f t="shared" si="2"/>
        <v>1.0482245107764252E-4</v>
      </c>
      <c r="H18" s="5">
        <f t="shared" si="3"/>
        <v>0</v>
      </c>
      <c r="I18" s="125">
        <f t="shared" si="5"/>
        <v>0</v>
      </c>
      <c r="J18" s="123">
        <f t="shared" si="6"/>
        <v>0</v>
      </c>
      <c r="K18" s="19"/>
      <c r="L18" s="1"/>
    </row>
    <row r="19" spans="1:12" x14ac:dyDescent="0.2">
      <c r="A19" s="32" t="s">
        <v>27</v>
      </c>
      <c r="B19" s="27">
        <v>30</v>
      </c>
      <c r="C19" s="29">
        <v>32.5</v>
      </c>
      <c r="D19" s="28">
        <f t="shared" si="0"/>
        <v>1</v>
      </c>
      <c r="E19" s="5">
        <f t="shared" si="1"/>
        <v>878</v>
      </c>
      <c r="F19" s="111">
        <f t="shared" si="4"/>
        <v>2.8063595891580917E-9</v>
      </c>
      <c r="G19" s="5">
        <f t="shared" si="2"/>
        <v>1.9836987297466633E-10</v>
      </c>
      <c r="H19" s="5">
        <f t="shared" si="3"/>
        <v>0</v>
      </c>
      <c r="I19" s="125">
        <f t="shared" si="5"/>
        <v>0</v>
      </c>
      <c r="J19" s="123">
        <f t="shared" si="6"/>
        <v>0</v>
      </c>
      <c r="K19" s="19"/>
      <c r="L19" s="1"/>
    </row>
    <row r="20" spans="1:12" x14ac:dyDescent="0.2">
      <c r="A20" s="44" t="s">
        <v>28</v>
      </c>
      <c r="B20" s="45">
        <v>35</v>
      </c>
      <c r="C20" s="46">
        <v>37.5</v>
      </c>
      <c r="D20" s="47">
        <f t="shared" si="0"/>
        <v>1</v>
      </c>
      <c r="E20" s="48">
        <f t="shared" si="1"/>
        <v>878</v>
      </c>
      <c r="F20" s="112">
        <f t="shared" si="4"/>
        <v>0</v>
      </c>
      <c r="G20" s="48">
        <f t="shared" si="2"/>
        <v>0</v>
      </c>
      <c r="H20" s="48">
        <f t="shared" si="3"/>
        <v>0</v>
      </c>
      <c r="I20" s="126">
        <f t="shared" si="5"/>
        <v>0</v>
      </c>
      <c r="J20" s="124">
        <f t="shared" si="6"/>
        <v>0</v>
      </c>
      <c r="K20" s="19"/>
      <c r="L20" s="1"/>
    </row>
    <row r="21" spans="1:12" ht="13.5" thickBot="1" x14ac:dyDescent="0.25">
      <c r="B21" s="26"/>
      <c r="C21" s="26"/>
      <c r="D21" s="10"/>
      <c r="E21" s="88" t="s">
        <v>76</v>
      </c>
      <c r="F21" s="113">
        <f>SUM(F14:F20)</f>
        <v>878</v>
      </c>
      <c r="G21" s="10">
        <f>SUM(G14:G20)</f>
        <v>8.4104146589601143</v>
      </c>
      <c r="H21" s="42">
        <f>SUM(H25:H31)/F21</f>
        <v>4.7280818439693872</v>
      </c>
      <c r="I21" s="127"/>
      <c r="J21" s="43">
        <f>SUM(J14:J20)</f>
        <v>25.638430145992348</v>
      </c>
      <c r="K21" s="1"/>
      <c r="L21" s="1"/>
    </row>
    <row r="22" spans="1:12" ht="13.5" thickTop="1" x14ac:dyDescent="0.2">
      <c r="A22" s="30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19"/>
      <c r="B25" s="119"/>
      <c r="C25" s="119"/>
      <c r="D25" s="119"/>
      <c r="E25" s="119"/>
      <c r="F25" s="119"/>
      <c r="G25" s="119"/>
      <c r="H25" s="146">
        <f>F14*H14</f>
        <v>166.93760106409621</v>
      </c>
      <c r="I25" s="119"/>
      <c r="J25" s="119"/>
      <c r="K25" s="119"/>
      <c r="L25" s="119"/>
    </row>
    <row r="26" spans="1:12" x14ac:dyDescent="0.2">
      <c r="A26" s="119"/>
      <c r="B26" s="119"/>
      <c r="C26" s="119"/>
      <c r="D26" s="119"/>
      <c r="E26" s="119"/>
      <c r="F26" s="119"/>
      <c r="G26" s="119"/>
      <c r="H26" s="147">
        <f>F15*H15</f>
        <v>2476.4236223261632</v>
      </c>
      <c r="I26" s="119"/>
      <c r="J26" s="119"/>
      <c r="K26" s="119"/>
      <c r="L26" s="119"/>
    </row>
    <row r="27" spans="1:12" x14ac:dyDescent="0.2">
      <c r="A27" s="119"/>
      <c r="B27" s="119"/>
      <c r="C27" s="119"/>
      <c r="D27" s="119"/>
      <c r="E27" s="119"/>
      <c r="F27" s="119"/>
      <c r="G27" s="145" t="s">
        <v>25</v>
      </c>
      <c r="H27" s="147">
        <f>F16*H16</f>
        <v>1464.3223009972828</v>
      </c>
      <c r="I27" s="119"/>
      <c r="J27" s="119"/>
      <c r="K27" s="119"/>
      <c r="L27" s="119"/>
    </row>
    <row r="28" spans="1:12" x14ac:dyDescent="0.2">
      <c r="A28" s="119"/>
      <c r="B28" s="119"/>
      <c r="C28" s="119"/>
      <c r="D28" s="119"/>
      <c r="E28" s="119"/>
      <c r="F28" s="119"/>
      <c r="G28" s="119"/>
      <c r="H28" s="147">
        <f>F17*H17</f>
        <v>43.572334617580303</v>
      </c>
      <c r="I28" s="119"/>
      <c r="J28" s="119"/>
      <c r="K28" s="119"/>
      <c r="L28" s="119"/>
    </row>
    <row r="29" spans="1:12" x14ac:dyDescent="0.2">
      <c r="A29" s="119"/>
      <c r="B29" s="119"/>
      <c r="C29" s="119"/>
      <c r="D29" s="119"/>
      <c r="E29" s="119"/>
      <c r="F29" s="119"/>
      <c r="G29" s="119"/>
      <c r="H29" s="147">
        <f>F18*H18</f>
        <v>0</v>
      </c>
      <c r="I29" s="119"/>
      <c r="J29" s="119"/>
      <c r="K29" s="119"/>
      <c r="L29" s="119"/>
    </row>
    <row r="30" spans="1:12" x14ac:dyDescent="0.2">
      <c r="A30" s="119"/>
      <c r="B30" s="119"/>
      <c r="C30" s="119"/>
      <c r="D30" s="119"/>
      <c r="E30" s="119"/>
      <c r="F30" s="119"/>
      <c r="G30" s="119"/>
      <c r="H30" s="147">
        <f t="shared" ref="H30:H31" si="7">F19*H19</f>
        <v>0</v>
      </c>
      <c r="I30" s="119"/>
      <c r="J30" s="119"/>
      <c r="K30" s="119"/>
      <c r="L30" s="119"/>
    </row>
    <row r="31" spans="1:12" ht="13.5" thickBot="1" x14ac:dyDescent="0.25">
      <c r="A31" s="119"/>
      <c r="B31" s="119"/>
      <c r="C31" s="119"/>
      <c r="D31" s="119"/>
      <c r="E31" s="119"/>
      <c r="F31" s="119"/>
      <c r="G31" s="119"/>
      <c r="H31" s="148">
        <f t="shared" si="7"/>
        <v>0</v>
      </c>
      <c r="I31" s="119"/>
      <c r="J31" s="119"/>
      <c r="K31" s="119"/>
      <c r="L31" s="119"/>
    </row>
    <row r="32" spans="1:12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phoneticPr fontId="0" type="noConversion"/>
  <pageMargins left="0.75" right="0.75" top="1" bottom="1" header="0.5" footer="0.5"/>
  <headerFooter alignWithMargins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workbookViewId="0">
      <selection activeCell="J22" sqref="J22"/>
    </sheetView>
  </sheetViews>
  <sheetFormatPr defaultRowHeight="12.75" x14ac:dyDescent="0.2"/>
  <sheetData>
    <row r="1" spans="1:12" x14ac:dyDescent="0.2">
      <c r="A1" s="87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8" t="s">
        <v>11</v>
      </c>
      <c r="B3" s="52">
        <f>Simulation!B6</f>
        <v>18</v>
      </c>
      <c r="C3" s="4"/>
      <c r="D3" s="18" t="s">
        <v>1</v>
      </c>
      <c r="E3" s="53">
        <f>Simulation!D6</f>
        <v>7.3031066641203122</v>
      </c>
      <c r="F3" s="4"/>
      <c r="G3" s="15" t="s">
        <v>13</v>
      </c>
      <c r="H3" s="38" t="s">
        <v>14</v>
      </c>
      <c r="I3" s="38" t="s">
        <v>15</v>
      </c>
      <c r="J3" s="39" t="s">
        <v>16</v>
      </c>
      <c r="K3" s="1"/>
      <c r="L3" s="4"/>
    </row>
    <row r="4" spans="1:12" x14ac:dyDescent="0.2">
      <c r="A4" s="35" t="s">
        <v>12</v>
      </c>
      <c r="B4" s="53">
        <f>'Observed data + calculus'!D14</f>
        <v>13.107155341529637</v>
      </c>
      <c r="C4" s="4"/>
      <c r="D4" s="18" t="s">
        <v>0</v>
      </c>
      <c r="E4" s="52">
        <f>Simulation!C6</f>
        <v>707.97262913676593</v>
      </c>
      <c r="F4" s="4"/>
      <c r="G4" s="16"/>
      <c r="H4" s="20">
        <f>0.9*E6</f>
        <v>3.401570661910974</v>
      </c>
      <c r="I4" s="20">
        <f>(E8-H4)/(2.99573^(1/J4))</f>
        <v>9.0379152079729508</v>
      </c>
      <c r="J4" s="17">
        <v>3.2</v>
      </c>
      <c r="K4" s="1"/>
      <c r="L4" s="4"/>
    </row>
    <row r="5" spans="1:12" x14ac:dyDescent="0.2">
      <c r="A5" s="40"/>
      <c r="B5" s="10"/>
      <c r="C5" s="4"/>
      <c r="D5" s="18" t="s">
        <v>5</v>
      </c>
      <c r="E5" s="53">
        <f>Simulation!F6</f>
        <v>7.2</v>
      </c>
      <c r="F5" s="4"/>
      <c r="G5" s="13"/>
      <c r="H5" s="10"/>
      <c r="I5" s="10"/>
      <c r="J5" s="10"/>
      <c r="K5" s="1"/>
      <c r="L5" s="4"/>
    </row>
    <row r="6" spans="1:12" x14ac:dyDescent="0.2">
      <c r="A6" s="40"/>
      <c r="B6" s="10"/>
      <c r="C6" s="4"/>
      <c r="D6" s="21" t="s">
        <v>3</v>
      </c>
      <c r="E6" s="53">
        <f>Simulation!E6</f>
        <v>3.7795229576788598</v>
      </c>
      <c r="F6" s="4"/>
      <c r="G6" s="13"/>
      <c r="H6" s="10"/>
      <c r="I6" s="10"/>
      <c r="J6" s="10"/>
      <c r="K6" s="1"/>
      <c r="L6" s="4"/>
    </row>
    <row r="7" spans="1:12" x14ac:dyDescent="0.2">
      <c r="A7" s="40"/>
      <c r="B7" s="10"/>
      <c r="C7" s="4"/>
      <c r="D7" s="21" t="s">
        <v>6</v>
      </c>
      <c r="E7" s="53">
        <f>Simulation!G6</f>
        <v>11.379235189200177</v>
      </c>
      <c r="F7" s="4"/>
      <c r="G7" s="13"/>
      <c r="H7" s="10"/>
      <c r="I7" s="10"/>
      <c r="J7" s="10"/>
      <c r="K7" s="1"/>
      <c r="L7" s="4"/>
    </row>
    <row r="8" spans="1:12" x14ac:dyDescent="0.2">
      <c r="A8" s="40"/>
      <c r="B8" s="10"/>
      <c r="C8" s="4"/>
      <c r="D8" s="21" t="s">
        <v>23</v>
      </c>
      <c r="E8" s="53">
        <f>Simulation!H6</f>
        <v>16.135878565140921</v>
      </c>
      <c r="F8" s="4"/>
      <c r="G8" s="13"/>
      <c r="H8" s="10"/>
      <c r="I8" s="10"/>
      <c r="J8" s="10"/>
      <c r="K8" s="1"/>
      <c r="L8" s="4"/>
    </row>
    <row r="9" spans="1:12" x14ac:dyDescent="0.2">
      <c r="A9" s="4"/>
      <c r="B9" s="4"/>
      <c r="C9" s="4"/>
      <c r="D9" s="4"/>
      <c r="E9" s="4"/>
      <c r="F9" s="1"/>
      <c r="G9" s="1"/>
      <c r="H9" s="1"/>
      <c r="I9" s="1"/>
      <c r="J9" s="1"/>
      <c r="K9" s="1"/>
      <c r="L9" s="1"/>
    </row>
    <row r="10" spans="1:12" x14ac:dyDescent="0.2">
      <c r="A10" s="33"/>
      <c r="B10" s="114" t="s">
        <v>72</v>
      </c>
      <c r="C10" s="4"/>
      <c r="D10" s="4"/>
      <c r="E10" s="4"/>
      <c r="F10" s="1"/>
      <c r="G10" s="1"/>
      <c r="H10" s="1"/>
      <c r="I10" s="1"/>
      <c r="J10" s="1"/>
      <c r="L10" s="1"/>
    </row>
    <row r="11" spans="1:12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ht="13.5" thickTop="1" x14ac:dyDescent="0.2">
      <c r="A12" s="115" t="s">
        <v>68</v>
      </c>
      <c r="B12" s="116" t="s">
        <v>32</v>
      </c>
      <c r="C12" s="116" t="s">
        <v>31</v>
      </c>
      <c r="D12" s="38" t="s">
        <v>13</v>
      </c>
      <c r="E12" s="38" t="s">
        <v>78</v>
      </c>
      <c r="F12" s="109" t="s">
        <v>0</v>
      </c>
      <c r="G12" s="38" t="s">
        <v>5</v>
      </c>
      <c r="H12" s="38" t="s">
        <v>24</v>
      </c>
      <c r="I12" s="38" t="s">
        <v>37</v>
      </c>
      <c r="J12" s="38" t="s">
        <v>7</v>
      </c>
      <c r="K12" s="26"/>
      <c r="L12" s="1"/>
    </row>
    <row r="13" spans="1:12" ht="14.25" x14ac:dyDescent="0.2">
      <c r="A13" s="118" t="s">
        <v>69</v>
      </c>
      <c r="B13" s="117" t="s">
        <v>4</v>
      </c>
      <c r="C13" s="117" t="s">
        <v>4</v>
      </c>
      <c r="D13" s="41" t="s">
        <v>77</v>
      </c>
      <c r="E13" s="41" t="s">
        <v>26</v>
      </c>
      <c r="F13" s="110" t="s">
        <v>26</v>
      </c>
      <c r="G13" s="41" t="s">
        <v>29</v>
      </c>
      <c r="H13" s="41" t="s">
        <v>2</v>
      </c>
      <c r="I13" s="41" t="s">
        <v>79</v>
      </c>
      <c r="J13" s="41" t="s">
        <v>30</v>
      </c>
      <c r="K13" s="26"/>
      <c r="L13" s="1"/>
    </row>
    <row r="14" spans="1:12" x14ac:dyDescent="0.2">
      <c r="A14" s="32" t="s">
        <v>17</v>
      </c>
      <c r="B14" s="4">
        <v>5</v>
      </c>
      <c r="C14" s="29">
        <v>7.5</v>
      </c>
      <c r="D14" s="28">
        <f t="shared" ref="D14:D20" si="0">1-EXP(-1*(((C14-H$4)/I$4)^J$4))</f>
        <v>7.6521838234306583E-2</v>
      </c>
      <c r="E14" s="5">
        <f t="shared" ref="E14:E20" si="1">D14*E$4</f>
        <v>54.175367001120328</v>
      </c>
      <c r="F14" s="111">
        <f>E14</f>
        <v>54.175367001120328</v>
      </c>
      <c r="G14" s="5">
        <f t="shared" ref="G14:G20" si="2">(B14^2*3.1415927/4*F14)/10000</f>
        <v>0.10637308593158783</v>
      </c>
      <c r="H14" s="5">
        <f t="shared" ref="H14:H20" si="3">IF(G14 &lt; 0.01, 0,1.891036*(E$3^0.890695)*(E$5^-0.146749)*(E$4^0.075548)*(EXP(2.000723*(B$3^-1)-11.96184*(B14^-1))))</f>
        <v>1.3950901116769403</v>
      </c>
      <c r="I14" s="125">
        <f>IF(H14 = 0, 0, (3.1415927*(B14^2)*H14/40000*0.336*EXP((0.94/H14)+(3.79/B14))))</f>
        <v>3.8529256269002267E-3</v>
      </c>
      <c r="J14" s="123">
        <f>F14*I14</f>
        <v>0.2087336598653414</v>
      </c>
      <c r="K14" s="19"/>
      <c r="L14" s="1"/>
    </row>
    <row r="15" spans="1:12" x14ac:dyDescent="0.2">
      <c r="A15" s="32" t="s">
        <v>18</v>
      </c>
      <c r="B15" s="4">
        <v>10</v>
      </c>
      <c r="C15" s="29">
        <v>12.5</v>
      </c>
      <c r="D15" s="28">
        <f t="shared" si="0"/>
        <v>0.63997582594118985</v>
      </c>
      <c r="E15" s="5">
        <f t="shared" si="1"/>
        <v>453.08536807555748</v>
      </c>
      <c r="F15" s="111">
        <f t="shared" ref="F15:F20" si="4">E15-E14</f>
        <v>398.91000107443716</v>
      </c>
      <c r="G15" s="5">
        <f t="shared" si="2"/>
        <v>3.13303186833111</v>
      </c>
      <c r="H15" s="5">
        <f t="shared" si="3"/>
        <v>4.614220783427502</v>
      </c>
      <c r="I15" s="125">
        <f t="shared" ref="I15:I20" si="5">IF(H15 = 0, 0, (3.1415927*(B15^2)*H15/40000*0.336*EXP((0.94/H15)+(3.79/B15))))</f>
        <v>2.1807142631689744E-2</v>
      </c>
      <c r="J15" s="123">
        <f t="shared" ref="J15:J20" si="6">F15*I15</f>
        <v>8.6990872906377597</v>
      </c>
      <c r="K15" s="19"/>
      <c r="L15" s="1"/>
    </row>
    <row r="16" spans="1:12" x14ac:dyDescent="0.2">
      <c r="A16" s="32" t="s">
        <v>19</v>
      </c>
      <c r="B16" s="4">
        <v>15</v>
      </c>
      <c r="C16" s="29">
        <v>17.5</v>
      </c>
      <c r="D16" s="28">
        <f t="shared" si="0"/>
        <v>0.98421746945218236</v>
      </c>
      <c r="E16" s="5">
        <f t="shared" si="1"/>
        <v>696.79902949039615</v>
      </c>
      <c r="F16" s="111">
        <f t="shared" si="4"/>
        <v>243.71366141483867</v>
      </c>
      <c r="G16" s="5">
        <f t="shared" si="2"/>
        <v>4.3067759602000999</v>
      </c>
      <c r="H16" s="5">
        <f t="shared" si="3"/>
        <v>6.8748581414667038</v>
      </c>
      <c r="I16" s="125">
        <f t="shared" si="5"/>
        <v>6.0254333780060586E-2</v>
      </c>
      <c r="J16" s="123">
        <f t="shared" si="6"/>
        <v>14.684804301650361</v>
      </c>
      <c r="K16" s="19"/>
      <c r="L16" s="1"/>
    </row>
    <row r="17" spans="1:12" x14ac:dyDescent="0.2">
      <c r="A17" s="32" t="s">
        <v>20</v>
      </c>
      <c r="B17" s="4">
        <v>20</v>
      </c>
      <c r="C17" s="29">
        <v>22.5</v>
      </c>
      <c r="D17" s="28">
        <f t="shared" si="0"/>
        <v>0.99998260066772915</v>
      </c>
      <c r="E17" s="5">
        <f t="shared" si="1"/>
        <v>707.96031088575296</v>
      </c>
      <c r="F17" s="111">
        <f t="shared" si="4"/>
        <v>11.161281395356809</v>
      </c>
      <c r="G17" s="5">
        <f t="shared" si="2"/>
        <v>0.35064200154298764</v>
      </c>
      <c r="H17" s="5">
        <f t="shared" si="3"/>
        <v>8.3916319204952607</v>
      </c>
      <c r="I17" s="125">
        <f t="shared" si="5"/>
        <v>0.11975191604720539</v>
      </c>
      <c r="J17" s="123">
        <f t="shared" si="6"/>
        <v>1.3365848326360041</v>
      </c>
      <c r="K17" s="19"/>
      <c r="L17" s="1"/>
    </row>
    <row r="18" spans="1:12" x14ac:dyDescent="0.2">
      <c r="A18" s="32" t="s">
        <v>21</v>
      </c>
      <c r="B18" s="27">
        <v>25</v>
      </c>
      <c r="C18" s="29">
        <v>27.5</v>
      </c>
      <c r="D18" s="28">
        <f t="shared" si="0"/>
        <v>0.99999999990379873</v>
      </c>
      <c r="E18" s="5">
        <f t="shared" si="1"/>
        <v>707.97262906865808</v>
      </c>
      <c r="F18" s="111">
        <f t="shared" si="4"/>
        <v>1.2318182905119102E-2</v>
      </c>
      <c r="G18" s="5">
        <f t="shared" si="2"/>
        <v>6.0466739831229626E-4</v>
      </c>
      <c r="H18" s="5">
        <f t="shared" si="3"/>
        <v>0</v>
      </c>
      <c r="I18" s="125">
        <f t="shared" si="5"/>
        <v>0</v>
      </c>
      <c r="J18" s="123">
        <f t="shared" si="6"/>
        <v>0</v>
      </c>
      <c r="K18" s="19"/>
      <c r="L18" s="1"/>
    </row>
    <row r="19" spans="1:12" x14ac:dyDescent="0.2">
      <c r="A19" s="32" t="s">
        <v>27</v>
      </c>
      <c r="B19" s="27">
        <v>30</v>
      </c>
      <c r="C19" s="29">
        <v>32.5</v>
      </c>
      <c r="D19" s="28">
        <f t="shared" si="0"/>
        <v>1</v>
      </c>
      <c r="E19" s="5">
        <f t="shared" si="1"/>
        <v>707.97262913676593</v>
      </c>
      <c r="F19" s="111">
        <f t="shared" si="4"/>
        <v>6.8107851802778896E-8</v>
      </c>
      <c r="G19" s="5">
        <f t="shared" si="2"/>
        <v>4.8142604258165712E-9</v>
      </c>
      <c r="H19" s="5">
        <f t="shared" si="3"/>
        <v>0</v>
      </c>
      <c r="I19" s="125">
        <f t="shared" si="5"/>
        <v>0</v>
      </c>
      <c r="J19" s="123">
        <f t="shared" si="6"/>
        <v>0</v>
      </c>
      <c r="K19" s="19"/>
      <c r="L19" s="1"/>
    </row>
    <row r="20" spans="1:12" x14ac:dyDescent="0.2">
      <c r="A20" s="44" t="s">
        <v>28</v>
      </c>
      <c r="B20" s="45">
        <v>35</v>
      </c>
      <c r="C20" s="46">
        <v>37.5</v>
      </c>
      <c r="D20" s="47">
        <f t="shared" si="0"/>
        <v>1</v>
      </c>
      <c r="E20" s="48">
        <f t="shared" si="1"/>
        <v>707.97262913676593</v>
      </c>
      <c r="F20" s="112">
        <f t="shared" si="4"/>
        <v>0</v>
      </c>
      <c r="G20" s="48">
        <f t="shared" si="2"/>
        <v>0</v>
      </c>
      <c r="H20" s="48">
        <f t="shared" si="3"/>
        <v>0</v>
      </c>
      <c r="I20" s="126">
        <f t="shared" si="5"/>
        <v>0</v>
      </c>
      <c r="J20" s="124">
        <f t="shared" si="6"/>
        <v>0</v>
      </c>
      <c r="K20" s="19"/>
      <c r="L20" s="1"/>
    </row>
    <row r="21" spans="1:12" ht="13.5" thickBot="1" x14ac:dyDescent="0.25">
      <c r="B21" s="26"/>
      <c r="C21" s="26"/>
      <c r="D21" s="10"/>
      <c r="E21" s="88" t="s">
        <v>76</v>
      </c>
      <c r="F21" s="113">
        <f>SUM(F14:F20)</f>
        <v>707.97262913676593</v>
      </c>
      <c r="G21" s="10">
        <f>SUM(G14:G20)</f>
        <v>7.897427588218358</v>
      </c>
      <c r="H21" s="42">
        <f>SUM(H25:H31)/F21</f>
        <v>5.2055636042928324</v>
      </c>
      <c r="I21" s="127"/>
      <c r="J21" s="43">
        <f>SUM(J14:J20)</f>
        <v>24.929210084789464</v>
      </c>
      <c r="K21" s="1"/>
      <c r="L21" s="1"/>
    </row>
    <row r="22" spans="1:12" ht="13.5" thickTop="1" x14ac:dyDescent="0.2">
      <c r="A22" s="30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19"/>
      <c r="B25" s="119"/>
      <c r="C25" s="119"/>
      <c r="D25" s="119"/>
      <c r="E25" s="119"/>
      <c r="F25" s="119"/>
      <c r="G25" s="119"/>
      <c r="H25" s="146">
        <f>F14*H14</f>
        <v>75.579518799732185</v>
      </c>
      <c r="I25" s="119"/>
      <c r="J25" s="119"/>
      <c r="K25" s="119"/>
      <c r="L25" s="119"/>
    </row>
    <row r="26" spans="1:12" x14ac:dyDescent="0.2">
      <c r="A26" s="119"/>
      <c r="B26" s="119"/>
      <c r="C26" s="119"/>
      <c r="D26" s="119"/>
      <c r="E26" s="119"/>
      <c r="F26" s="119"/>
      <c r="G26" s="119"/>
      <c r="H26" s="147">
        <f>F15*H15</f>
        <v>1840.658817674755</v>
      </c>
      <c r="I26" s="119"/>
      <c r="J26" s="119"/>
      <c r="K26" s="119"/>
      <c r="L26" s="119"/>
    </row>
    <row r="27" spans="1:12" x14ac:dyDescent="0.2">
      <c r="A27" s="119"/>
      <c r="B27" s="119"/>
      <c r="C27" s="119"/>
      <c r="D27" s="119"/>
      <c r="E27" s="119"/>
      <c r="F27" s="119"/>
      <c r="G27" s="145" t="s">
        <v>25</v>
      </c>
      <c r="H27" s="147">
        <f>F16*H16</f>
        <v>1675.4968493644633</v>
      </c>
      <c r="I27" s="119"/>
      <c r="J27" s="119"/>
      <c r="K27" s="119"/>
      <c r="L27" s="119"/>
    </row>
    <row r="28" spans="1:12" x14ac:dyDescent="0.2">
      <c r="A28" s="119"/>
      <c r="B28" s="119"/>
      <c r="C28" s="119"/>
      <c r="D28" s="119"/>
      <c r="E28" s="119"/>
      <c r="F28" s="119"/>
      <c r="G28" s="119"/>
      <c r="H28" s="147">
        <f>F17*H17</f>
        <v>93.661365230906085</v>
      </c>
      <c r="I28" s="119"/>
      <c r="J28" s="119"/>
      <c r="K28" s="119"/>
      <c r="L28" s="119"/>
    </row>
    <row r="29" spans="1:12" x14ac:dyDescent="0.2">
      <c r="A29" s="119"/>
      <c r="B29" s="119"/>
      <c r="C29" s="119"/>
      <c r="D29" s="119"/>
      <c r="E29" s="119"/>
      <c r="F29" s="119"/>
      <c r="G29" s="119"/>
      <c r="H29" s="147">
        <f>F18*H18</f>
        <v>0</v>
      </c>
      <c r="I29" s="119"/>
      <c r="J29" s="119"/>
      <c r="K29" s="119"/>
      <c r="L29" s="119"/>
    </row>
    <row r="30" spans="1:12" x14ac:dyDescent="0.2">
      <c r="A30" s="119"/>
      <c r="B30" s="119"/>
      <c r="C30" s="119"/>
      <c r="D30" s="119"/>
      <c r="E30" s="119"/>
      <c r="F30" s="119"/>
      <c r="G30" s="119"/>
      <c r="H30" s="147">
        <f t="shared" ref="H30:H31" si="7">F19*H19</f>
        <v>0</v>
      </c>
      <c r="I30" s="119"/>
      <c r="J30" s="119"/>
      <c r="K30" s="119"/>
      <c r="L30" s="119"/>
    </row>
    <row r="31" spans="1:12" ht="13.5" thickBot="1" x14ac:dyDescent="0.25">
      <c r="A31" s="119"/>
      <c r="B31" s="119"/>
      <c r="C31" s="119"/>
      <c r="D31" s="119"/>
      <c r="E31" s="119"/>
      <c r="F31" s="119"/>
      <c r="G31" s="119"/>
      <c r="H31" s="148">
        <f t="shared" si="7"/>
        <v>0</v>
      </c>
      <c r="I31" s="119"/>
      <c r="J31" s="119"/>
      <c r="K31" s="119"/>
      <c r="L31" s="119"/>
    </row>
    <row r="32" spans="1:12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phoneticPr fontId="0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workbookViewId="0">
      <selection activeCell="H22" sqref="H22"/>
    </sheetView>
  </sheetViews>
  <sheetFormatPr defaultRowHeight="12.75" x14ac:dyDescent="0.2"/>
  <sheetData>
    <row r="1" spans="1:12" x14ac:dyDescent="0.2">
      <c r="A1" s="87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8" t="s">
        <v>11</v>
      </c>
      <c r="B3" s="52">
        <f>Simulation!B7</f>
        <v>22</v>
      </c>
      <c r="C3" s="4"/>
      <c r="D3" s="18" t="s">
        <v>1</v>
      </c>
      <c r="E3" s="53">
        <f>Simulation!D7</f>
        <v>8.3970843053511608</v>
      </c>
      <c r="F3" s="4"/>
      <c r="G3" s="15" t="s">
        <v>13</v>
      </c>
      <c r="H3" s="38" t="s">
        <v>14</v>
      </c>
      <c r="I3" s="38" t="s">
        <v>15</v>
      </c>
      <c r="J3" s="39" t="s">
        <v>16</v>
      </c>
      <c r="K3" s="1"/>
      <c r="L3" s="4"/>
    </row>
    <row r="4" spans="1:12" x14ac:dyDescent="0.2">
      <c r="A4" s="35" t="s">
        <v>12</v>
      </c>
      <c r="B4" s="53">
        <f>'Observed data + calculus'!D14</f>
        <v>13.107155341529637</v>
      </c>
      <c r="C4" s="4"/>
      <c r="D4" s="18" t="s">
        <v>0</v>
      </c>
      <c r="E4" s="52">
        <f>Simulation!C7</f>
        <v>707.97262913676593</v>
      </c>
      <c r="F4" s="4"/>
      <c r="G4" s="16"/>
      <c r="H4" s="20">
        <f>0.9*E6</f>
        <v>3.401570661910974</v>
      </c>
      <c r="I4" s="20">
        <f>(E8-H4)/(2.99573^(1/J4))</f>
        <v>11.60355140581326</v>
      </c>
      <c r="J4" s="17">
        <v>2.9</v>
      </c>
      <c r="K4" s="1"/>
      <c r="L4" s="4"/>
    </row>
    <row r="5" spans="1:12" x14ac:dyDescent="0.2">
      <c r="A5" s="40"/>
      <c r="B5" s="10"/>
      <c r="C5" s="4"/>
      <c r="D5" s="18" t="s">
        <v>5</v>
      </c>
      <c r="E5" s="53">
        <f>Simulation!F7</f>
        <v>11.322482318772396</v>
      </c>
      <c r="F5" s="4"/>
      <c r="G5" s="13"/>
      <c r="H5" s="10"/>
      <c r="I5" s="10"/>
      <c r="J5" s="10"/>
      <c r="K5" s="1"/>
      <c r="L5" s="4"/>
    </row>
    <row r="6" spans="1:12" x14ac:dyDescent="0.2">
      <c r="A6" s="40"/>
      <c r="B6" s="10"/>
      <c r="C6" s="4"/>
      <c r="D6" s="21" t="s">
        <v>3</v>
      </c>
      <c r="E6" s="53">
        <f>Simulation!E7</f>
        <v>3.7795229576788598</v>
      </c>
      <c r="F6" s="4"/>
      <c r="G6" s="13"/>
      <c r="H6" s="10"/>
      <c r="I6" s="10"/>
      <c r="J6" s="10"/>
      <c r="K6" s="1"/>
      <c r="L6" s="4"/>
    </row>
    <row r="7" spans="1:12" x14ac:dyDescent="0.2">
      <c r="A7" s="40"/>
      <c r="B7" s="10"/>
      <c r="C7" s="4"/>
      <c r="D7" s="21" t="s">
        <v>6</v>
      </c>
      <c r="E7" s="53">
        <f>Simulation!G7</f>
        <v>14.269792270125951</v>
      </c>
      <c r="F7" s="4"/>
      <c r="G7" s="13"/>
      <c r="H7" s="10"/>
      <c r="I7" s="10"/>
      <c r="J7" s="10"/>
      <c r="K7" s="1"/>
      <c r="L7" s="4"/>
    </row>
    <row r="8" spans="1:12" x14ac:dyDescent="0.2">
      <c r="A8" s="40"/>
      <c r="B8" s="10"/>
      <c r="C8" s="4"/>
      <c r="D8" s="21" t="s">
        <v>23</v>
      </c>
      <c r="E8" s="53">
        <f>Simulation!H7</f>
        <v>20.34113339814277</v>
      </c>
      <c r="F8" s="4"/>
      <c r="G8" s="13"/>
      <c r="H8" s="10"/>
      <c r="I8" s="10"/>
      <c r="J8" s="10"/>
      <c r="K8" s="1"/>
      <c r="L8" s="4"/>
    </row>
    <row r="9" spans="1:12" x14ac:dyDescent="0.2">
      <c r="A9" s="4"/>
      <c r="B9" s="4"/>
      <c r="C9" s="4"/>
      <c r="D9" s="4"/>
      <c r="E9" s="4"/>
      <c r="F9" s="1"/>
      <c r="G9" s="1"/>
      <c r="H9" s="1"/>
      <c r="I9" s="1"/>
      <c r="J9" s="1"/>
      <c r="K9" s="1"/>
      <c r="L9" s="1"/>
    </row>
    <row r="10" spans="1:12" x14ac:dyDescent="0.2">
      <c r="A10" s="33"/>
      <c r="B10" s="114" t="s">
        <v>73</v>
      </c>
      <c r="C10" s="4"/>
      <c r="D10" s="4"/>
      <c r="E10" s="4"/>
      <c r="F10" s="1"/>
      <c r="G10" s="1"/>
      <c r="H10" s="1"/>
      <c r="I10" s="1"/>
      <c r="J10" s="1"/>
      <c r="L10" s="1"/>
    </row>
    <row r="11" spans="1:12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ht="13.5" thickTop="1" x14ac:dyDescent="0.2">
      <c r="A12" s="115" t="s">
        <v>68</v>
      </c>
      <c r="B12" s="116" t="s">
        <v>32</v>
      </c>
      <c r="C12" s="116" t="s">
        <v>31</v>
      </c>
      <c r="D12" s="38" t="s">
        <v>13</v>
      </c>
      <c r="E12" s="38" t="s">
        <v>78</v>
      </c>
      <c r="F12" s="109" t="s">
        <v>0</v>
      </c>
      <c r="G12" s="38" t="s">
        <v>5</v>
      </c>
      <c r="H12" s="38" t="s">
        <v>24</v>
      </c>
      <c r="I12" s="38" t="s">
        <v>37</v>
      </c>
      <c r="J12" s="38" t="s">
        <v>7</v>
      </c>
      <c r="K12" s="1"/>
      <c r="L12" s="1"/>
    </row>
    <row r="13" spans="1:12" ht="14.25" x14ac:dyDescent="0.2">
      <c r="A13" s="118" t="s">
        <v>69</v>
      </c>
      <c r="B13" s="117" t="s">
        <v>4</v>
      </c>
      <c r="C13" s="117" t="s">
        <v>4</v>
      </c>
      <c r="D13" s="41" t="s">
        <v>77</v>
      </c>
      <c r="E13" s="41" t="s">
        <v>26</v>
      </c>
      <c r="F13" s="110" t="s">
        <v>26</v>
      </c>
      <c r="G13" s="41" t="s">
        <v>29</v>
      </c>
      <c r="H13" s="41" t="s">
        <v>2</v>
      </c>
      <c r="I13" s="41" t="s">
        <v>79</v>
      </c>
      <c r="J13" s="41" t="s">
        <v>30</v>
      </c>
      <c r="K13" s="1"/>
      <c r="L13" s="1"/>
    </row>
    <row r="14" spans="1:12" x14ac:dyDescent="0.2">
      <c r="A14" s="32" t="s">
        <v>17</v>
      </c>
      <c r="B14" s="4">
        <v>5</v>
      </c>
      <c r="C14" s="29">
        <v>7.5</v>
      </c>
      <c r="D14" s="28">
        <f t="shared" ref="D14:D20" si="0">1-EXP(-1*(((C14-H$4)/I$4)^J$4))</f>
        <v>4.7720222004808632E-2</v>
      </c>
      <c r="E14" s="5">
        <f t="shared" ref="E14:E20" si="1">D14*E$4</f>
        <v>33.784611035734521</v>
      </c>
      <c r="F14" s="111">
        <f>E14</f>
        <v>33.784611035734521</v>
      </c>
      <c r="G14" s="5">
        <f t="shared" ref="G14:G20" si="2">(B14^2*3.1415927/4*F14)/10000</f>
        <v>6.6335929626376883E-2</v>
      </c>
      <c r="H14" s="5">
        <f t="shared" ref="H14:H20" si="3">IF(G14 &lt; 0.01, 0,1.891036*(E$3^0.890695)*(E$5^-0.146749)*(E$4^0.075548)*(EXP(2.000723*(B$3^-1)-11.96184*(B14^-1))))</f>
        <v>1.4486650134609855</v>
      </c>
      <c r="I14" s="125">
        <f>IF(H14 = 0, 0, (3.1415927*(B14^2)*H14/40000*0.336*EXP((0.94/H14)+(3.79/B14))))</f>
        <v>3.9024238936952297E-3</v>
      </c>
      <c r="J14" s="123">
        <f>F14*I14</f>
        <v>0.13184187334504993</v>
      </c>
      <c r="K14" s="19"/>
      <c r="L14" s="1"/>
    </row>
    <row r="15" spans="1:12" x14ac:dyDescent="0.2">
      <c r="A15" s="32" t="s">
        <v>18</v>
      </c>
      <c r="B15" s="4">
        <v>10</v>
      </c>
      <c r="C15" s="29">
        <v>12.5</v>
      </c>
      <c r="D15" s="28">
        <f t="shared" si="0"/>
        <v>0.3897928355274215</v>
      </c>
      <c r="E15" s="5">
        <f t="shared" si="1"/>
        <v>275.96265858702355</v>
      </c>
      <c r="F15" s="111">
        <f t="shared" ref="F15:F20" si="4">E15-E14</f>
        <v>242.17804755128904</v>
      </c>
      <c r="G15" s="5">
        <f t="shared" si="2"/>
        <v>1.9020619657184561</v>
      </c>
      <c r="H15" s="5">
        <f t="shared" si="3"/>
        <v>4.7914182441598987</v>
      </c>
      <c r="I15" s="125">
        <f t="shared" ref="I15:I20" si="5">IF(H15 = 0, 0, (3.1415927*(B15^2)*H15/40000*0.336*EXP((0.94/H15)+(3.79/B15))))</f>
        <v>2.24746284742828E-2</v>
      </c>
      <c r="J15" s="123">
        <f t="shared" ref="J15:J20" si="6">F15*I15</f>
        <v>5.4428616433424146</v>
      </c>
      <c r="K15" s="19"/>
      <c r="L15" s="1"/>
    </row>
    <row r="16" spans="1:12" x14ac:dyDescent="0.2">
      <c r="A16" s="32" t="s">
        <v>19</v>
      </c>
      <c r="B16" s="4">
        <v>15</v>
      </c>
      <c r="C16" s="29">
        <v>17.5</v>
      </c>
      <c r="D16" s="28">
        <f t="shared" si="0"/>
        <v>0.82779387563365114</v>
      </c>
      <c r="E16" s="5">
        <f t="shared" si="1"/>
        <v>586.05540651566901</v>
      </c>
      <c r="F16" s="111">
        <f t="shared" si="4"/>
        <v>310.09274792864545</v>
      </c>
      <c r="G16" s="5">
        <f t="shared" si="2"/>
        <v>5.4797912618375966</v>
      </c>
      <c r="H16" s="5">
        <f t="shared" si="3"/>
        <v>7.1388696534296043</v>
      </c>
      <c r="I16" s="125">
        <f t="shared" si="5"/>
        <v>6.2252665572812338E-2</v>
      </c>
      <c r="J16" s="123">
        <f t="shared" si="6"/>
        <v>19.304100133356361</v>
      </c>
      <c r="K16" s="19"/>
      <c r="L16" s="1"/>
    </row>
    <row r="17" spans="1:12" x14ac:dyDescent="0.2">
      <c r="A17" s="32" t="s">
        <v>20</v>
      </c>
      <c r="B17" s="4">
        <v>20</v>
      </c>
      <c r="C17" s="29">
        <v>22.5</v>
      </c>
      <c r="D17" s="28">
        <f t="shared" si="0"/>
        <v>0.98562243441674047</v>
      </c>
      <c r="E17" s="5">
        <f t="shared" si="1"/>
        <v>697.7937062301994</v>
      </c>
      <c r="F17" s="111">
        <f t="shared" si="4"/>
        <v>111.7382997145304</v>
      </c>
      <c r="G17" s="5">
        <f t="shared" si="2"/>
        <v>3.5103622669358074</v>
      </c>
      <c r="H17" s="5">
        <f t="shared" si="3"/>
        <v>8.7138912872453993</v>
      </c>
      <c r="I17" s="125">
        <f t="shared" si="5"/>
        <v>0.12383661324312657</v>
      </c>
      <c r="J17" s="123">
        <f t="shared" si="6"/>
        <v>13.837292606192861</v>
      </c>
      <c r="K17" s="19"/>
      <c r="L17" s="1"/>
    </row>
    <row r="18" spans="1:12" x14ac:dyDescent="0.2">
      <c r="A18" s="32" t="s">
        <v>21</v>
      </c>
      <c r="B18" s="27">
        <v>25</v>
      </c>
      <c r="C18" s="29">
        <v>27.5</v>
      </c>
      <c r="D18" s="28">
        <f t="shared" si="0"/>
        <v>0.99975794132331697</v>
      </c>
      <c r="E18" s="5">
        <f t="shared" si="1"/>
        <v>707.80125821902925</v>
      </c>
      <c r="F18" s="111">
        <f t="shared" si="4"/>
        <v>10.007551988829846</v>
      </c>
      <c r="G18" s="5">
        <f t="shared" si="2"/>
        <v>0.49124456676528633</v>
      </c>
      <c r="H18" s="5">
        <f t="shared" si="3"/>
        <v>9.8211365305132539</v>
      </c>
      <c r="I18" s="125">
        <f t="shared" si="5"/>
        <v>0.20743266191496781</v>
      </c>
      <c r="J18" s="123">
        <f t="shared" si="6"/>
        <v>2.0758931482954051</v>
      </c>
      <c r="K18" s="19"/>
      <c r="L18" s="1"/>
    </row>
    <row r="19" spans="1:12" x14ac:dyDescent="0.2">
      <c r="A19" s="32" t="s">
        <v>27</v>
      </c>
      <c r="B19" s="27">
        <v>30</v>
      </c>
      <c r="C19" s="29">
        <v>32.5</v>
      </c>
      <c r="D19" s="28">
        <f t="shared" si="0"/>
        <v>0.99999943415056991</v>
      </c>
      <c r="E19" s="5">
        <f t="shared" si="1"/>
        <v>707.97222853085725</v>
      </c>
      <c r="F19" s="111">
        <f t="shared" si="4"/>
        <v>0.17097031182800038</v>
      </c>
      <c r="G19" s="5">
        <f t="shared" si="2"/>
        <v>1.2085179380000316E-2</v>
      </c>
      <c r="H19" s="5">
        <f t="shared" si="3"/>
        <v>10.636403947990933</v>
      </c>
      <c r="I19" s="125">
        <f t="shared" si="5"/>
        <v>0.3131219118874739</v>
      </c>
      <c r="J19" s="123">
        <f t="shared" si="6"/>
        <v>5.3534550915581069E-2</v>
      </c>
      <c r="K19" s="19"/>
      <c r="L19" s="1"/>
    </row>
    <row r="20" spans="1:12" x14ac:dyDescent="0.2">
      <c r="A20" s="44" t="s">
        <v>28</v>
      </c>
      <c r="B20" s="45">
        <v>35</v>
      </c>
      <c r="C20" s="46">
        <v>37.5</v>
      </c>
      <c r="D20" s="47">
        <f t="shared" si="0"/>
        <v>0.99999999987254606</v>
      </c>
      <c r="E20" s="48">
        <f t="shared" si="1"/>
        <v>707.97262904653201</v>
      </c>
      <c r="F20" s="112">
        <f t="shared" si="4"/>
        <v>4.0051567475529737E-4</v>
      </c>
      <c r="G20" s="48">
        <f t="shared" si="2"/>
        <v>3.853412430143375E-5</v>
      </c>
      <c r="H20" s="48">
        <f t="shared" si="3"/>
        <v>0</v>
      </c>
      <c r="I20" s="126">
        <f t="shared" si="5"/>
        <v>0</v>
      </c>
      <c r="J20" s="124">
        <f t="shared" si="6"/>
        <v>0</v>
      </c>
      <c r="K20" s="19"/>
      <c r="L20" s="1"/>
    </row>
    <row r="21" spans="1:12" ht="13.5" thickBot="1" x14ac:dyDescent="0.25">
      <c r="B21" s="26"/>
      <c r="C21" s="26"/>
      <c r="D21" s="10"/>
      <c r="E21" s="88" t="s">
        <v>76</v>
      </c>
      <c r="F21" s="113">
        <f>SUM(F14:F20)</f>
        <v>707.97262904653201</v>
      </c>
      <c r="G21" s="10">
        <f>SUM(G14:G20)</f>
        <v>11.461919704387826</v>
      </c>
      <c r="H21" s="42">
        <f>SUM(H25:H31)/F21</f>
        <v>6.3516721732843404</v>
      </c>
      <c r="I21" s="127"/>
      <c r="J21" s="43">
        <f>SUM(J14:J20)</f>
        <v>40.845523955447668</v>
      </c>
      <c r="K21" s="1"/>
      <c r="L21" s="1"/>
    </row>
    <row r="22" spans="1:12" ht="13.5" thickTop="1" x14ac:dyDescent="0.2">
      <c r="A22" s="30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19"/>
      <c r="B25" s="119"/>
      <c r="C25" s="119"/>
      <c r="D25" s="119"/>
      <c r="E25" s="119"/>
      <c r="F25" s="119"/>
      <c r="G25" s="119"/>
      <c r="H25" s="146">
        <f>F14*H14</f>
        <v>48.942584000856513</v>
      </c>
      <c r="I25" s="119"/>
      <c r="J25" s="119"/>
      <c r="K25" s="119"/>
      <c r="L25" s="119"/>
    </row>
    <row r="26" spans="1:12" x14ac:dyDescent="0.2">
      <c r="A26" s="119"/>
      <c r="B26" s="119"/>
      <c r="C26" s="119"/>
      <c r="D26" s="119"/>
      <c r="E26" s="119"/>
      <c r="F26" s="119"/>
      <c r="G26" s="119"/>
      <c r="H26" s="147">
        <f>F15*H15</f>
        <v>1160.3763153722698</v>
      </c>
      <c r="I26" s="119"/>
      <c r="J26" s="119"/>
      <c r="K26" s="119"/>
      <c r="L26" s="119"/>
    </row>
    <row r="27" spans="1:12" x14ac:dyDescent="0.2">
      <c r="A27" s="119"/>
      <c r="B27" s="119"/>
      <c r="C27" s="119"/>
      <c r="D27" s="119"/>
      <c r="E27" s="119"/>
      <c r="F27" s="119"/>
      <c r="G27" s="145" t="s">
        <v>25</v>
      </c>
      <c r="H27" s="147">
        <f>F16*H16</f>
        <v>2213.7117079364029</v>
      </c>
      <c r="I27" s="119"/>
      <c r="J27" s="119"/>
      <c r="K27" s="119"/>
      <c r="L27" s="119"/>
    </row>
    <row r="28" spans="1:12" x14ac:dyDescent="0.2">
      <c r="A28" s="119"/>
      <c r="B28" s="119"/>
      <c r="C28" s="119"/>
      <c r="D28" s="119"/>
      <c r="E28" s="119"/>
      <c r="F28" s="119"/>
      <c r="G28" s="119"/>
      <c r="H28" s="147">
        <f>F17*H17</f>
        <v>973.67539633406147</v>
      </c>
      <c r="I28" s="119"/>
      <c r="J28" s="119"/>
      <c r="K28" s="119"/>
      <c r="L28" s="119"/>
    </row>
    <row r="29" spans="1:12" x14ac:dyDescent="0.2">
      <c r="A29" s="119"/>
      <c r="B29" s="119"/>
      <c r="C29" s="119"/>
      <c r="D29" s="119"/>
      <c r="E29" s="119"/>
      <c r="F29" s="119"/>
      <c r="G29" s="119"/>
      <c r="H29" s="147">
        <f>F18*H18</f>
        <v>98.285534418507368</v>
      </c>
      <c r="I29" s="119"/>
      <c r="J29" s="119"/>
      <c r="K29" s="119"/>
      <c r="L29" s="119"/>
    </row>
    <row r="30" spans="1:12" x14ac:dyDescent="0.2">
      <c r="A30" s="119"/>
      <c r="B30" s="119"/>
      <c r="C30" s="119"/>
      <c r="D30" s="119"/>
      <c r="E30" s="119"/>
      <c r="F30" s="119"/>
      <c r="G30" s="119"/>
      <c r="H30" s="147">
        <f t="shared" ref="H30:H31" si="7">F19*H19</f>
        <v>1.8185092997165841</v>
      </c>
      <c r="I30" s="119"/>
      <c r="J30" s="119"/>
      <c r="K30" s="119"/>
      <c r="L30" s="119"/>
    </row>
    <row r="31" spans="1:12" ht="13.5" thickBot="1" x14ac:dyDescent="0.25">
      <c r="A31" s="119"/>
      <c r="B31" s="119"/>
      <c r="C31" s="119"/>
      <c r="D31" s="119"/>
      <c r="E31" s="119"/>
      <c r="F31" s="119"/>
      <c r="G31" s="119"/>
      <c r="H31" s="148">
        <f t="shared" si="7"/>
        <v>0</v>
      </c>
      <c r="I31" s="119"/>
      <c r="J31" s="119"/>
      <c r="K31" s="119"/>
      <c r="L31" s="119"/>
    </row>
    <row r="32" spans="1:12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phoneticPr fontId="0" type="noConversion"/>
  <pageMargins left="0.75" right="0.75" top="1" bottom="1" header="0.5" footer="0.5"/>
  <headerFooter alignWithMargins="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workbookViewId="0">
      <selection activeCell="J22" sqref="J22"/>
    </sheetView>
  </sheetViews>
  <sheetFormatPr defaultRowHeight="12.75" x14ac:dyDescent="0.2"/>
  <sheetData>
    <row r="1" spans="1:12" x14ac:dyDescent="0.2">
      <c r="A1" s="87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8" t="s">
        <v>11</v>
      </c>
      <c r="B3" s="52">
        <f>Simulation!B8</f>
        <v>27</v>
      </c>
      <c r="C3" s="4"/>
      <c r="D3" s="18" t="s">
        <v>1</v>
      </c>
      <c r="E3" s="53">
        <f>Simulation!D8</f>
        <v>9.5506356780849</v>
      </c>
      <c r="F3" s="4"/>
      <c r="G3" s="15" t="s">
        <v>13</v>
      </c>
      <c r="H3" s="38" t="s">
        <v>14</v>
      </c>
      <c r="I3" s="38" t="s">
        <v>15</v>
      </c>
      <c r="J3" s="39" t="s">
        <v>16</v>
      </c>
      <c r="K3" s="1"/>
      <c r="L3" s="4"/>
    </row>
    <row r="4" spans="1:12" x14ac:dyDescent="0.2">
      <c r="A4" s="35" t="s">
        <v>12</v>
      </c>
      <c r="B4" s="53">
        <f>'Observed data + calculus'!D14</f>
        <v>13.107155341529637</v>
      </c>
      <c r="C4" s="4"/>
      <c r="D4" s="18" t="s">
        <v>0</v>
      </c>
      <c r="E4" s="52">
        <f>Simulation!C8</f>
        <v>707.97262913676593</v>
      </c>
      <c r="F4" s="4"/>
      <c r="G4" s="16"/>
      <c r="H4" s="20">
        <f>0.9*E6</f>
        <v>3.401570661910974</v>
      </c>
      <c r="I4" s="20">
        <f>(E8-H4)/(2.99573^(1/J4))</f>
        <v>14.919412298717818</v>
      </c>
      <c r="J4" s="17">
        <v>3.3</v>
      </c>
      <c r="K4" s="1"/>
      <c r="L4" s="4"/>
    </row>
    <row r="5" spans="1:12" x14ac:dyDescent="0.2">
      <c r="A5" s="40"/>
      <c r="B5" s="10"/>
      <c r="C5" s="4"/>
      <c r="D5" s="18" t="s">
        <v>5</v>
      </c>
      <c r="E5" s="53">
        <f>Simulation!F8</f>
        <v>16.642501905993296</v>
      </c>
      <c r="F5" s="4"/>
      <c r="G5" s="13"/>
      <c r="H5" s="10"/>
      <c r="I5" s="10"/>
      <c r="J5" s="10"/>
      <c r="K5" s="1"/>
      <c r="L5" s="4"/>
    </row>
    <row r="6" spans="1:12" x14ac:dyDescent="0.2">
      <c r="A6" s="40"/>
      <c r="B6" s="10"/>
      <c r="C6" s="4"/>
      <c r="D6" s="21" t="s">
        <v>3</v>
      </c>
      <c r="E6" s="53">
        <f>Simulation!E8</f>
        <v>3.7795229576788598</v>
      </c>
      <c r="F6" s="4"/>
      <c r="G6" s="13"/>
      <c r="H6" s="10"/>
      <c r="I6" s="10"/>
      <c r="J6" s="10"/>
      <c r="K6" s="1"/>
      <c r="L6" s="4"/>
    </row>
    <row r="7" spans="1:12" x14ac:dyDescent="0.2">
      <c r="A7" s="40"/>
      <c r="B7" s="10"/>
      <c r="C7" s="4"/>
      <c r="D7" s="21" t="s">
        <v>6</v>
      </c>
      <c r="E7" s="53">
        <f>Simulation!G8</f>
        <v>17.300399545713365</v>
      </c>
      <c r="F7" s="4"/>
      <c r="G7" s="13"/>
      <c r="H7" s="10"/>
      <c r="I7" s="10"/>
      <c r="J7" s="10"/>
      <c r="K7" s="1"/>
      <c r="L7" s="4"/>
    </row>
    <row r="8" spans="1:12" x14ac:dyDescent="0.2">
      <c r="A8" s="40"/>
      <c r="B8" s="10"/>
      <c r="C8" s="4"/>
      <c r="D8" s="21" t="s">
        <v>23</v>
      </c>
      <c r="E8" s="53">
        <f>Simulation!H8</f>
        <v>24.205552402174462</v>
      </c>
      <c r="F8" s="4"/>
      <c r="G8" s="13"/>
      <c r="H8" s="10"/>
      <c r="I8" s="10"/>
      <c r="J8" s="10"/>
      <c r="K8" s="1"/>
      <c r="L8" s="4"/>
    </row>
    <row r="9" spans="1:12" x14ac:dyDescent="0.2">
      <c r="A9" s="4"/>
      <c r="B9" s="4"/>
      <c r="C9" s="4"/>
      <c r="D9" s="4"/>
      <c r="E9" s="4"/>
      <c r="F9" s="1"/>
      <c r="G9" s="1"/>
      <c r="H9" s="1"/>
      <c r="I9" s="1"/>
      <c r="J9" s="1"/>
      <c r="K9" s="1"/>
      <c r="L9" s="1"/>
    </row>
    <row r="10" spans="1:12" x14ac:dyDescent="0.2">
      <c r="A10" s="33"/>
      <c r="B10" s="114" t="s">
        <v>74</v>
      </c>
      <c r="C10" s="4"/>
      <c r="D10" s="4"/>
      <c r="E10" s="4"/>
      <c r="F10" s="1"/>
      <c r="G10" s="1"/>
      <c r="H10" s="1"/>
      <c r="I10" s="1"/>
      <c r="J10" s="1"/>
      <c r="L10" s="1"/>
    </row>
    <row r="11" spans="1:12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ht="13.5" thickTop="1" x14ac:dyDescent="0.2">
      <c r="A12" s="115" t="s">
        <v>68</v>
      </c>
      <c r="B12" s="116" t="s">
        <v>32</v>
      </c>
      <c r="C12" s="116" t="s">
        <v>31</v>
      </c>
      <c r="D12" s="38" t="s">
        <v>13</v>
      </c>
      <c r="E12" s="38" t="s">
        <v>78</v>
      </c>
      <c r="F12" s="109" t="s">
        <v>0</v>
      </c>
      <c r="G12" s="38" t="s">
        <v>5</v>
      </c>
      <c r="H12" s="38" t="s">
        <v>24</v>
      </c>
      <c r="I12" s="38" t="s">
        <v>37</v>
      </c>
      <c r="J12" s="38" t="s">
        <v>7</v>
      </c>
      <c r="K12" s="1"/>
      <c r="L12" s="1"/>
    </row>
    <row r="13" spans="1:12" ht="14.25" x14ac:dyDescent="0.2">
      <c r="A13" s="118" t="s">
        <v>69</v>
      </c>
      <c r="B13" s="117" t="s">
        <v>4</v>
      </c>
      <c r="C13" s="117" t="s">
        <v>4</v>
      </c>
      <c r="D13" s="41" t="s">
        <v>77</v>
      </c>
      <c r="E13" s="41" t="s">
        <v>26</v>
      </c>
      <c r="F13" s="110" t="s">
        <v>26</v>
      </c>
      <c r="G13" s="41" t="s">
        <v>29</v>
      </c>
      <c r="H13" s="41" t="s">
        <v>2</v>
      </c>
      <c r="I13" s="41" t="s">
        <v>79</v>
      </c>
      <c r="J13" s="41" t="s">
        <v>30</v>
      </c>
      <c r="K13" s="26"/>
      <c r="L13" s="1"/>
    </row>
    <row r="14" spans="1:12" x14ac:dyDescent="0.2">
      <c r="A14" s="32" t="s">
        <v>17</v>
      </c>
      <c r="B14" s="4">
        <v>5</v>
      </c>
      <c r="C14" s="29">
        <v>7.5</v>
      </c>
      <c r="D14" s="28">
        <f t="shared" ref="D14:D20" si="0">1-EXP(-1*(((C14-H$4)/I$4)^J$4))</f>
        <v>1.3970292841923193E-2</v>
      </c>
      <c r="E14" s="5">
        <f t="shared" ref="E14:E20" si="1">D14*E$4</f>
        <v>9.8905849531069041</v>
      </c>
      <c r="F14" s="111">
        <f>E14</f>
        <v>9.8905849531069041</v>
      </c>
      <c r="G14" s="5">
        <f t="shared" ref="G14:G20" si="2">(B14^2*3.1415927/4*F14)/10000</f>
        <v>1.9420118429631556E-2</v>
      </c>
      <c r="H14" s="5">
        <f t="shared" ref="H14:H20" si="3">IF(G14 &lt; 0.01, 0,1.891036*(E$3^0.890695)*(E$5^-0.146749)*(E$4^0.075548)*(EXP(2.000723*(B$3^-1)-11.96184*(B14^-1))))</f>
        <v>1.5097305754727222</v>
      </c>
      <c r="I14" s="125">
        <f>IF(H14 = 0, 0, (3.1415927*(B14^2)*H14/40000*0.336*EXP((0.94/H14)+(3.79/B14))))</f>
        <v>3.9615723724211122E-3</v>
      </c>
      <c r="J14" s="123">
        <f>F14*I14</f>
        <v>3.9182268097312276E-2</v>
      </c>
      <c r="K14" s="19"/>
      <c r="L14" s="1"/>
    </row>
    <row r="15" spans="1:12" x14ac:dyDescent="0.2">
      <c r="A15" s="32" t="s">
        <v>18</v>
      </c>
      <c r="B15" s="4">
        <v>10</v>
      </c>
      <c r="C15" s="29">
        <v>12.5</v>
      </c>
      <c r="D15" s="28">
        <f t="shared" si="0"/>
        <v>0.1775995311128078</v>
      </c>
      <c r="E15" s="5">
        <f t="shared" si="1"/>
        <v>125.73560697539139</v>
      </c>
      <c r="F15" s="111">
        <f t="shared" ref="F15:F20" si="4">E15-E14</f>
        <v>115.84502202228448</v>
      </c>
      <c r="G15" s="5">
        <f t="shared" si="2"/>
        <v>0.90984468879137037</v>
      </c>
      <c r="H15" s="5">
        <f t="shared" si="3"/>
        <v>4.9933908501068638</v>
      </c>
      <c r="I15" s="125">
        <f t="shared" ref="I15:I20" si="5">IF(H15 = 0, 0, (3.1415927*(B15^2)*H15/40000*0.336*EXP((0.94/H15)+(3.79/B15))))</f>
        <v>2.3236877276999818E-2</v>
      </c>
      <c r="J15" s="123">
        <f t="shared" ref="J15:J20" si="6">F15*I15</f>
        <v>2.6918765598831658</v>
      </c>
      <c r="K15" s="19"/>
      <c r="L15" s="1"/>
    </row>
    <row r="16" spans="1:12" x14ac:dyDescent="0.2">
      <c r="A16" s="32" t="s">
        <v>19</v>
      </c>
      <c r="B16" s="4">
        <v>15</v>
      </c>
      <c r="C16" s="29">
        <v>17.5</v>
      </c>
      <c r="D16" s="28">
        <f t="shared" si="0"/>
        <v>0.56378793320571496</v>
      </c>
      <c r="E16" s="5">
        <f t="shared" si="1"/>
        <v>399.14642534723339</v>
      </c>
      <c r="F16" s="111">
        <f t="shared" si="4"/>
        <v>273.41081837184197</v>
      </c>
      <c r="G16" s="5">
        <f t="shared" si="2"/>
        <v>4.8315680499262754</v>
      </c>
      <c r="H16" s="5">
        <f t="shared" si="3"/>
        <v>7.4397943554583472</v>
      </c>
      <c r="I16" s="125">
        <f t="shared" si="5"/>
        <v>6.4532190882239854E-2</v>
      </c>
      <c r="J16" s="123">
        <f t="shared" si="6"/>
        <v>17.643799120441116</v>
      </c>
      <c r="K16" s="19"/>
      <c r="L16" s="1"/>
    </row>
    <row r="17" spans="1:12" x14ac:dyDescent="0.2">
      <c r="A17" s="32" t="s">
        <v>20</v>
      </c>
      <c r="B17" s="4">
        <v>20</v>
      </c>
      <c r="C17" s="29">
        <v>22.5</v>
      </c>
      <c r="D17" s="28">
        <f t="shared" si="0"/>
        <v>0.89554259091952981</v>
      </c>
      <c r="E17" s="5">
        <f t="shared" si="1"/>
        <v>634.01964259725082</v>
      </c>
      <c r="F17" s="111">
        <f t="shared" si="4"/>
        <v>234.87321725001743</v>
      </c>
      <c r="G17" s="5">
        <f t="shared" si="2"/>
        <v>7.378759847381688</v>
      </c>
      <c r="H17" s="5">
        <f t="shared" si="3"/>
        <v>9.0812078606563489</v>
      </c>
      <c r="I17" s="125">
        <f t="shared" si="5"/>
        <v>0.12849481358740933</v>
      </c>
      <c r="J17" s="123">
        <f t="shared" si="6"/>
        <v>30.179990267216084</v>
      </c>
      <c r="K17" s="19"/>
      <c r="L17" s="1"/>
    </row>
    <row r="18" spans="1:12" x14ac:dyDescent="0.2">
      <c r="A18" s="32" t="s">
        <v>21</v>
      </c>
      <c r="B18" s="27">
        <v>25</v>
      </c>
      <c r="C18" s="29">
        <v>27.5</v>
      </c>
      <c r="D18" s="28">
        <f t="shared" si="0"/>
        <v>0.99229674871066464</v>
      </c>
      <c r="E18" s="5">
        <f t="shared" si="1"/>
        <v>702.51893806855401</v>
      </c>
      <c r="F18" s="111">
        <f t="shared" si="4"/>
        <v>68.499295471303185</v>
      </c>
      <c r="G18" s="5">
        <f t="shared" si="2"/>
        <v>3.3624513532467057</v>
      </c>
      <c r="H18" s="5">
        <f t="shared" si="3"/>
        <v>10.235126801733358</v>
      </c>
      <c r="I18" s="125">
        <f t="shared" si="5"/>
        <v>0.21534129046749662</v>
      </c>
      <c r="J18" s="123">
        <f t="shared" si="6"/>
        <v>14.750726682904775</v>
      </c>
      <c r="K18" s="19"/>
      <c r="L18" s="1"/>
    </row>
    <row r="19" spans="1:12" x14ac:dyDescent="0.2">
      <c r="A19" s="32" t="s">
        <v>27</v>
      </c>
      <c r="B19" s="27">
        <v>30</v>
      </c>
      <c r="C19" s="29">
        <v>32.5</v>
      </c>
      <c r="D19" s="28">
        <f t="shared" si="0"/>
        <v>0.99988440745465346</v>
      </c>
      <c r="E19" s="5">
        <f t="shared" si="1"/>
        <v>707.89079277852829</v>
      </c>
      <c r="F19" s="111">
        <f t="shared" si="4"/>
        <v>5.3718547099742864</v>
      </c>
      <c r="G19" s="5">
        <f t="shared" si="2"/>
        <v>0.37971403970210632</v>
      </c>
      <c r="H19" s="5">
        <f t="shared" si="3"/>
        <v>11.084760178611955</v>
      </c>
      <c r="I19" s="125">
        <f t="shared" si="5"/>
        <v>0.32515654561363427</v>
      </c>
      <c r="J19" s="123">
        <f t="shared" si="6"/>
        <v>1.7466937210335702</v>
      </c>
      <c r="K19" s="19"/>
      <c r="L19" s="1"/>
    </row>
    <row r="20" spans="1:12" x14ac:dyDescent="0.2">
      <c r="A20" s="44" t="s">
        <v>28</v>
      </c>
      <c r="B20" s="45">
        <v>35</v>
      </c>
      <c r="C20" s="46">
        <v>37.5</v>
      </c>
      <c r="D20" s="47">
        <f t="shared" si="0"/>
        <v>0.99999977299321863</v>
      </c>
      <c r="E20" s="48">
        <f t="shared" si="1"/>
        <v>707.97246842217805</v>
      </c>
      <c r="F20" s="112">
        <f t="shared" si="4"/>
        <v>8.1675643649759877E-2</v>
      </c>
      <c r="G20" s="48">
        <f t="shared" si="2"/>
        <v>7.8581179293977874E-3</v>
      </c>
      <c r="H20" s="48">
        <f t="shared" si="3"/>
        <v>0</v>
      </c>
      <c r="I20" s="126">
        <f t="shared" si="5"/>
        <v>0</v>
      </c>
      <c r="J20" s="124">
        <f t="shared" si="6"/>
        <v>0</v>
      </c>
      <c r="K20" s="19"/>
      <c r="L20" s="1"/>
    </row>
    <row r="21" spans="1:12" ht="13.5" thickBot="1" x14ac:dyDescent="0.25">
      <c r="B21" s="26"/>
      <c r="C21" s="26"/>
      <c r="D21" s="10"/>
      <c r="E21" s="88" t="s">
        <v>76</v>
      </c>
      <c r="F21" s="113">
        <f>SUM(F14:F20)</f>
        <v>707.97246842217805</v>
      </c>
      <c r="G21" s="10">
        <f>SUM(G14:G20)</f>
        <v>16.889616215407173</v>
      </c>
      <c r="H21" s="42">
        <f>SUM(H25:H31)/F21</f>
        <v>7.7984516403007431</v>
      </c>
      <c r="I21" s="127"/>
      <c r="J21" s="43">
        <f>SUM(J14:J20)</f>
        <v>67.052268619576012</v>
      </c>
      <c r="K21" s="1"/>
      <c r="L21" s="1"/>
    </row>
    <row r="22" spans="1:12" ht="13.5" thickTop="1" x14ac:dyDescent="0.2">
      <c r="A22" s="30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19"/>
      <c r="B25" s="119"/>
      <c r="C25" s="119"/>
      <c r="D25" s="119"/>
      <c r="E25" s="119"/>
      <c r="F25" s="119"/>
      <c r="G25" s="119"/>
      <c r="H25" s="146">
        <f>F14*H14</f>
        <v>14.932118513015933</v>
      </c>
      <c r="I25" s="119"/>
      <c r="J25" s="119"/>
      <c r="K25" s="119"/>
      <c r="L25" s="119"/>
    </row>
    <row r="26" spans="1:12" x14ac:dyDescent="0.2">
      <c r="A26" s="119"/>
      <c r="B26" s="119"/>
      <c r="C26" s="119"/>
      <c r="D26" s="119"/>
      <c r="E26" s="119"/>
      <c r="F26" s="119"/>
      <c r="G26" s="119"/>
      <c r="H26" s="147">
        <f>F15*H15</f>
        <v>578.45947299650345</v>
      </c>
      <c r="I26" s="119"/>
      <c r="J26" s="119"/>
      <c r="K26" s="119"/>
      <c r="L26" s="119"/>
    </row>
    <row r="27" spans="1:12" x14ac:dyDescent="0.2">
      <c r="A27" s="119"/>
      <c r="B27" s="119"/>
      <c r="C27" s="119"/>
      <c r="D27" s="119"/>
      <c r="E27" s="119"/>
      <c r="F27" s="119"/>
      <c r="G27" s="145" t="s">
        <v>25</v>
      </c>
      <c r="H27" s="147">
        <f>F16*H16</f>
        <v>2034.1202632440773</v>
      </c>
      <c r="I27" s="119"/>
      <c r="J27" s="119"/>
      <c r="K27" s="119"/>
      <c r="L27" s="119"/>
    </row>
    <row r="28" spans="1:12" x14ac:dyDescent="0.2">
      <c r="A28" s="119"/>
      <c r="B28" s="119"/>
      <c r="C28" s="119"/>
      <c r="D28" s="119"/>
      <c r="E28" s="119"/>
      <c r="F28" s="119"/>
      <c r="G28" s="119"/>
      <c r="H28" s="147">
        <f>F17*H17</f>
        <v>2132.9325067485047</v>
      </c>
      <c r="I28" s="119"/>
      <c r="J28" s="119"/>
      <c r="K28" s="119"/>
      <c r="L28" s="119"/>
    </row>
    <row r="29" spans="1:12" x14ac:dyDescent="0.2">
      <c r="A29" s="119"/>
      <c r="B29" s="119"/>
      <c r="C29" s="119"/>
      <c r="D29" s="119"/>
      <c r="E29" s="119"/>
      <c r="F29" s="119"/>
      <c r="G29" s="119"/>
      <c r="H29" s="147">
        <f>F18*H18</f>
        <v>701.0989749781877</v>
      </c>
      <c r="I29" s="119"/>
      <c r="J29" s="119"/>
      <c r="K29" s="119"/>
      <c r="L29" s="119"/>
    </row>
    <row r="30" spans="1:12" x14ac:dyDescent="0.2">
      <c r="A30" s="119"/>
      <c r="B30" s="119"/>
      <c r="C30" s="119"/>
      <c r="D30" s="119"/>
      <c r="E30" s="119"/>
      <c r="F30" s="119"/>
      <c r="G30" s="119"/>
      <c r="H30" s="147">
        <f t="shared" ref="H30:H31" si="7">F19*H19</f>
        <v>59.545721174412044</v>
      </c>
      <c r="I30" s="119"/>
      <c r="J30" s="119"/>
      <c r="K30" s="119"/>
      <c r="L30" s="119"/>
    </row>
    <row r="31" spans="1:12" ht="13.5" thickBot="1" x14ac:dyDescent="0.25">
      <c r="A31" s="119"/>
      <c r="B31" s="119"/>
      <c r="C31" s="119"/>
      <c r="D31" s="119"/>
      <c r="E31" s="119"/>
      <c r="F31" s="119"/>
      <c r="G31" s="119"/>
      <c r="H31" s="148">
        <f t="shared" si="7"/>
        <v>0</v>
      </c>
      <c r="I31" s="119"/>
      <c r="J31" s="119"/>
      <c r="K31" s="119"/>
      <c r="L31" s="119"/>
    </row>
    <row r="32" spans="1:12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phoneticPr fontId="0" type="noConversion"/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workbookViewId="0">
      <selection activeCell="J22" sqref="J22"/>
    </sheetView>
  </sheetViews>
  <sheetFormatPr defaultRowHeight="12.75" x14ac:dyDescent="0.2"/>
  <sheetData>
    <row r="1" spans="1:12" x14ac:dyDescent="0.2">
      <c r="A1" s="87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8" t="s">
        <v>11</v>
      </c>
      <c r="B3" s="52">
        <f>Simulation!B9</f>
        <v>32</v>
      </c>
      <c r="C3" s="4"/>
      <c r="D3" s="18" t="s">
        <v>1</v>
      </c>
      <c r="E3" s="53">
        <f>Simulation!D9</f>
        <v>10.525860122606412</v>
      </c>
      <c r="F3" s="4"/>
      <c r="G3" s="15" t="s">
        <v>13</v>
      </c>
      <c r="H3" s="38" t="s">
        <v>14</v>
      </c>
      <c r="I3" s="38" t="s">
        <v>15</v>
      </c>
      <c r="J3" s="39" t="s">
        <v>16</v>
      </c>
      <c r="K3" s="1"/>
      <c r="L3" s="4"/>
    </row>
    <row r="4" spans="1:12" x14ac:dyDescent="0.2">
      <c r="A4" s="35" t="s">
        <v>12</v>
      </c>
      <c r="B4" s="53">
        <f>'Observed data + calculus'!D14</f>
        <v>13.107155341529637</v>
      </c>
      <c r="C4" s="4"/>
      <c r="D4" s="18" t="s">
        <v>0</v>
      </c>
      <c r="E4" s="52">
        <f>Simulation!C9</f>
        <v>707.97262913676593</v>
      </c>
      <c r="F4" s="4"/>
      <c r="G4" s="16"/>
      <c r="H4" s="20">
        <f>0.9*E6</f>
        <v>3.401570661910974</v>
      </c>
      <c r="I4" s="20">
        <f>(E8-H4)/(2.99573^(1/J4))</f>
        <v>17.519480276515523</v>
      </c>
      <c r="J4" s="17">
        <v>3.6</v>
      </c>
      <c r="K4" s="1"/>
      <c r="L4" s="4"/>
    </row>
    <row r="5" spans="1:12" x14ac:dyDescent="0.2">
      <c r="A5" s="40"/>
      <c r="B5" s="10"/>
      <c r="C5" s="4"/>
      <c r="D5" s="18" t="s">
        <v>5</v>
      </c>
      <c r="E5" s="53">
        <f>Simulation!F9</f>
        <v>21.841302304192542</v>
      </c>
      <c r="F5" s="4"/>
      <c r="G5" s="13"/>
      <c r="H5" s="10"/>
      <c r="I5" s="10"/>
      <c r="J5" s="10"/>
      <c r="K5" s="1"/>
      <c r="L5" s="4"/>
    </row>
    <row r="6" spans="1:12" x14ac:dyDescent="0.2">
      <c r="A6" s="40"/>
      <c r="B6" s="10"/>
      <c r="C6" s="4"/>
      <c r="D6" s="21" t="s">
        <v>3</v>
      </c>
      <c r="E6" s="53">
        <f>Simulation!E9</f>
        <v>3.7795229576788598</v>
      </c>
      <c r="F6" s="4"/>
      <c r="G6" s="13"/>
      <c r="H6" s="10"/>
      <c r="I6" s="10"/>
      <c r="J6" s="10"/>
      <c r="K6" s="1"/>
      <c r="L6" s="4"/>
    </row>
    <row r="7" spans="1:12" x14ac:dyDescent="0.2">
      <c r="A7" s="40"/>
      <c r="B7" s="10"/>
      <c r="C7" s="4"/>
      <c r="D7" s="21" t="s">
        <v>6</v>
      </c>
      <c r="E7" s="53">
        <f>Simulation!G9</f>
        <v>19.819198637309064</v>
      </c>
      <c r="F7" s="4"/>
      <c r="G7" s="13"/>
      <c r="H7" s="10"/>
      <c r="I7" s="10"/>
      <c r="J7" s="10"/>
      <c r="K7" s="1"/>
      <c r="L7" s="4"/>
    </row>
    <row r="8" spans="1:12" x14ac:dyDescent="0.2">
      <c r="A8" s="40"/>
      <c r="B8" s="10"/>
      <c r="C8" s="4"/>
      <c r="D8" s="21" t="s">
        <v>23</v>
      </c>
      <c r="E8" s="53">
        <f>Simulation!H9</f>
        <v>27.163575001463872</v>
      </c>
      <c r="F8" s="4"/>
      <c r="G8" s="13"/>
      <c r="H8" s="10"/>
      <c r="I8" s="10"/>
      <c r="J8" s="10"/>
      <c r="K8" s="1"/>
      <c r="L8" s="4"/>
    </row>
    <row r="9" spans="1:12" x14ac:dyDescent="0.2">
      <c r="A9" s="4"/>
      <c r="B9" s="4"/>
      <c r="C9" s="4"/>
      <c r="D9" s="4"/>
      <c r="E9" s="4"/>
      <c r="F9" s="1"/>
      <c r="G9" s="1"/>
      <c r="H9" s="1"/>
      <c r="I9" s="1"/>
      <c r="J9" s="1"/>
      <c r="K9" s="1"/>
      <c r="L9" s="1"/>
    </row>
    <row r="10" spans="1:12" x14ac:dyDescent="0.2">
      <c r="A10" s="33"/>
      <c r="B10" s="114" t="s">
        <v>75</v>
      </c>
      <c r="C10" s="4"/>
      <c r="D10" s="4"/>
      <c r="E10" s="4"/>
      <c r="F10" s="1"/>
      <c r="G10" s="1"/>
      <c r="H10" s="1"/>
      <c r="I10" s="1"/>
      <c r="J10" s="1"/>
      <c r="L10" s="1"/>
    </row>
    <row r="11" spans="1:12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ht="13.5" thickTop="1" x14ac:dyDescent="0.2">
      <c r="A12" s="115" t="s">
        <v>68</v>
      </c>
      <c r="B12" s="116" t="s">
        <v>32</v>
      </c>
      <c r="C12" s="116" t="s">
        <v>31</v>
      </c>
      <c r="D12" s="38" t="s">
        <v>13</v>
      </c>
      <c r="E12" s="38" t="s">
        <v>78</v>
      </c>
      <c r="F12" s="109" t="s">
        <v>0</v>
      </c>
      <c r="G12" s="38" t="s">
        <v>5</v>
      </c>
      <c r="H12" s="38" t="s">
        <v>24</v>
      </c>
      <c r="I12" s="38" t="s">
        <v>37</v>
      </c>
      <c r="J12" s="38" t="s">
        <v>7</v>
      </c>
      <c r="K12" s="1"/>
      <c r="L12" s="1"/>
    </row>
    <row r="13" spans="1:12" ht="14.25" x14ac:dyDescent="0.2">
      <c r="A13" s="118" t="s">
        <v>69</v>
      </c>
      <c r="B13" s="117" t="s">
        <v>4</v>
      </c>
      <c r="C13" s="117" t="s">
        <v>4</v>
      </c>
      <c r="D13" s="41" t="s">
        <v>77</v>
      </c>
      <c r="E13" s="41" t="s">
        <v>26</v>
      </c>
      <c r="F13" s="110" t="s">
        <v>26</v>
      </c>
      <c r="G13" s="41" t="s">
        <v>29</v>
      </c>
      <c r="H13" s="41" t="s">
        <v>2</v>
      </c>
      <c r="I13" s="41" t="s">
        <v>79</v>
      </c>
      <c r="J13" s="41" t="s">
        <v>30</v>
      </c>
      <c r="K13" s="26"/>
      <c r="L13" s="1"/>
    </row>
    <row r="14" spans="1:12" x14ac:dyDescent="0.2">
      <c r="A14" s="32" t="s">
        <v>17</v>
      </c>
      <c r="B14" s="4">
        <v>5</v>
      </c>
      <c r="C14" s="29">
        <v>7.5</v>
      </c>
      <c r="D14" s="28">
        <f t="shared" ref="D14:D20" si="0">1-EXP(-1*(((C14-H$4)/I$4)^J$4))</f>
        <v>5.3405276754231457E-3</v>
      </c>
      <c r="E14" s="5">
        <f t="shared" ref="E14:E20" si="1">D14*E$4</f>
        <v>3.7809474193469854</v>
      </c>
      <c r="F14" s="111">
        <f>E14</f>
        <v>3.7809474193469854</v>
      </c>
      <c r="G14" s="5">
        <f t="shared" ref="G14:G20" si="2">(B14^2*3.1415927/4*F14)/10000</f>
        <v>7.4238730073152058E-3</v>
      </c>
      <c r="H14" s="5">
        <f t="shared" ref="H14:H20" si="3">IF(G14 &lt; 0.01, 0,1.891036*(E$3^0.890695)*(E$5^-0.146749)*(E$4^0.075548)*(EXP(2.000723*(B$3^-1)-11.96184*(B14^-1))))</f>
        <v>0</v>
      </c>
      <c r="I14" s="125">
        <f>IF(H14 = 0, 0, (3.1415927*(B14^2)*H14/40000*0.336*EXP((0.94/H14)+(3.79/B14))))</f>
        <v>0</v>
      </c>
      <c r="J14" s="123">
        <f>F14*I14</f>
        <v>0</v>
      </c>
      <c r="K14" s="19"/>
      <c r="L14" s="1"/>
    </row>
    <row r="15" spans="1:12" x14ac:dyDescent="0.2">
      <c r="A15" s="32" t="s">
        <v>18</v>
      </c>
      <c r="B15" s="4">
        <v>10</v>
      </c>
      <c r="C15" s="29">
        <v>12.5</v>
      </c>
      <c r="D15" s="28">
        <f t="shared" si="0"/>
        <v>9.0206113062374471E-2</v>
      </c>
      <c r="E15" s="5">
        <f t="shared" si="1"/>
        <v>63.863459028977616</v>
      </c>
      <c r="F15" s="111">
        <f t="shared" ref="F15:F20" si="4">E15-E14</f>
        <v>60.082511609630629</v>
      </c>
      <c r="G15" s="5">
        <f t="shared" si="2"/>
        <v>0.47188694967620204</v>
      </c>
      <c r="H15" s="5">
        <f t="shared" si="3"/>
        <v>5.1719210983313859</v>
      </c>
      <c r="I15" s="125">
        <f t="shared" ref="I15:I20" si="5">IF(H15 = 0, 0, (3.1415927*(B15^2)*H15/40000*0.336*EXP((0.94/H15)+(3.79/B15))))</f>
        <v>2.3911783349031501E-2</v>
      </c>
      <c r="J15" s="123">
        <f t="shared" ref="J15:J20" si="6">F15*I15</f>
        <v>1.4366800006751574</v>
      </c>
      <c r="K15" s="19"/>
      <c r="L15" s="1"/>
    </row>
    <row r="16" spans="1:12" x14ac:dyDescent="0.2">
      <c r="A16" s="32" t="s">
        <v>19</v>
      </c>
      <c r="B16" s="4">
        <v>15</v>
      </c>
      <c r="C16" s="29">
        <v>17.5</v>
      </c>
      <c r="D16" s="28">
        <f t="shared" si="0"/>
        <v>0.36710093822109091</v>
      </c>
      <c r="E16" s="5">
        <f t="shared" si="1"/>
        <v>259.89741639095922</v>
      </c>
      <c r="F16" s="111">
        <f t="shared" si="4"/>
        <v>196.03395736198161</v>
      </c>
      <c r="G16" s="5">
        <f t="shared" si="2"/>
        <v>3.4642060278778839</v>
      </c>
      <c r="H16" s="5">
        <f t="shared" si="3"/>
        <v>7.7057916252276346</v>
      </c>
      <c r="I16" s="125">
        <f t="shared" si="5"/>
        <v>6.6548550945282475E-2</v>
      </c>
      <c r="J16" s="123">
        <f t="shared" si="6"/>
        <v>13.045775798509165</v>
      </c>
      <c r="K16" s="19"/>
      <c r="L16" s="1"/>
    </row>
    <row r="17" spans="1:12" x14ac:dyDescent="0.2">
      <c r="A17" s="32" t="s">
        <v>20</v>
      </c>
      <c r="B17" s="4">
        <v>20</v>
      </c>
      <c r="C17" s="29">
        <v>22.5</v>
      </c>
      <c r="D17" s="28">
        <f t="shared" si="0"/>
        <v>0.74444473558875379</v>
      </c>
      <c r="E17" s="5">
        <f t="shared" si="1"/>
        <v>527.04649670179458</v>
      </c>
      <c r="F17" s="111">
        <f t="shared" si="4"/>
        <v>267.14908031083536</v>
      </c>
      <c r="G17" s="5">
        <f t="shared" si="2"/>
        <v>8.392736005162341</v>
      </c>
      <c r="H17" s="5">
        <f t="shared" si="3"/>
        <v>9.4058910953978785</v>
      </c>
      <c r="I17" s="125">
        <f t="shared" si="5"/>
        <v>0.1326142380423177</v>
      </c>
      <c r="J17" s="123">
        <f t="shared" si="6"/>
        <v>35.427771729127372</v>
      </c>
      <c r="K17" s="19"/>
      <c r="L17" s="1"/>
    </row>
    <row r="18" spans="1:12" x14ac:dyDescent="0.2">
      <c r="A18" s="32" t="s">
        <v>21</v>
      </c>
      <c r="B18" s="27">
        <v>25</v>
      </c>
      <c r="C18" s="29">
        <v>27.5</v>
      </c>
      <c r="D18" s="28">
        <f t="shared" si="0"/>
        <v>0.9572014699928505</v>
      </c>
      <c r="E18" s="5">
        <f t="shared" si="1"/>
        <v>677.67244132441556</v>
      </c>
      <c r="F18" s="111">
        <f t="shared" si="4"/>
        <v>150.62594462262098</v>
      </c>
      <c r="G18" s="5">
        <f t="shared" si="2"/>
        <v>7.3938338758910991</v>
      </c>
      <c r="H18" s="5">
        <f t="shared" si="3"/>
        <v>10.601066457445226</v>
      </c>
      <c r="I18" s="125">
        <f t="shared" si="5"/>
        <v>0.22233447823326744</v>
      </c>
      <c r="J18" s="123">
        <f t="shared" si="6"/>
        <v>33.489340806063467</v>
      </c>
      <c r="K18" s="19"/>
      <c r="L18" s="1"/>
    </row>
    <row r="19" spans="1:12" x14ac:dyDescent="0.2">
      <c r="A19" s="32" t="s">
        <v>27</v>
      </c>
      <c r="B19" s="27">
        <v>30</v>
      </c>
      <c r="C19" s="29">
        <v>32.5</v>
      </c>
      <c r="D19" s="28">
        <f t="shared" si="0"/>
        <v>0.99799542332328584</v>
      </c>
      <c r="E19" s="5">
        <f t="shared" si="1"/>
        <v>706.55344371664637</v>
      </c>
      <c r="F19" s="111">
        <f t="shared" si="4"/>
        <v>28.881002392230812</v>
      </c>
      <c r="G19" s="5">
        <f t="shared" si="2"/>
        <v>2.0414777913925843</v>
      </c>
      <c r="H19" s="5">
        <f t="shared" si="3"/>
        <v>11.481077039358901</v>
      </c>
      <c r="I19" s="125">
        <f t="shared" si="5"/>
        <v>0.33579756094288515</v>
      </c>
      <c r="J19" s="123">
        <f t="shared" si="6"/>
        <v>9.6981701608967388</v>
      </c>
      <c r="K19" s="19"/>
      <c r="L19" s="1"/>
    </row>
    <row r="20" spans="1:12" x14ac:dyDescent="0.2">
      <c r="A20" s="44" t="s">
        <v>28</v>
      </c>
      <c r="B20" s="45">
        <v>35</v>
      </c>
      <c r="C20" s="46">
        <v>37.5</v>
      </c>
      <c r="D20" s="47">
        <f t="shared" si="0"/>
        <v>0.9999832027337765</v>
      </c>
      <c r="E20" s="48">
        <f t="shared" si="1"/>
        <v>707.96073713203532</v>
      </c>
      <c r="F20" s="112">
        <f t="shared" si="4"/>
        <v>1.4072934153889491</v>
      </c>
      <c r="G20" s="48">
        <f t="shared" si="2"/>
        <v>0.13539749581665969</v>
      </c>
      <c r="H20" s="48">
        <f t="shared" si="3"/>
        <v>12.154036637002099</v>
      </c>
      <c r="I20" s="126">
        <f t="shared" si="5"/>
        <v>0.47304478783610215</v>
      </c>
      <c r="J20" s="124">
        <f t="shared" si="6"/>
        <v>0.66571281510580904</v>
      </c>
      <c r="K20" s="19"/>
      <c r="L20" s="1"/>
    </row>
    <row r="21" spans="1:12" ht="13.5" thickBot="1" x14ac:dyDescent="0.25">
      <c r="B21" s="26"/>
      <c r="C21" s="26"/>
      <c r="D21" s="10"/>
      <c r="E21" s="88" t="s">
        <v>76</v>
      </c>
      <c r="F21" s="113">
        <f>SUM(F14:F20)</f>
        <v>707.96073713203532</v>
      </c>
      <c r="G21" s="10">
        <f>SUM(G14:G20)</f>
        <v>21.906962018824082</v>
      </c>
      <c r="H21" s="42">
        <f>SUM(H25:H31)/F21</f>
        <v>8.86998193676901</v>
      </c>
      <c r="I21" s="127"/>
      <c r="J21" s="43">
        <f>SUM(J14:J20)</f>
        <v>93.763451310377704</v>
      </c>
      <c r="K21" s="1"/>
      <c r="L21" s="1"/>
    </row>
    <row r="22" spans="1:12" ht="13.5" thickTop="1" x14ac:dyDescent="0.2">
      <c r="A22" s="30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19"/>
      <c r="B25" s="119"/>
      <c r="C25" s="119"/>
      <c r="D25" s="119"/>
      <c r="E25" s="119"/>
      <c r="F25" s="119"/>
      <c r="G25" s="119"/>
      <c r="H25" s="146">
        <f>F14*H14</f>
        <v>0</v>
      </c>
      <c r="I25" s="119"/>
      <c r="J25" s="119"/>
      <c r="K25" s="119"/>
      <c r="L25" s="119"/>
    </row>
    <row r="26" spans="1:12" x14ac:dyDescent="0.2">
      <c r="A26" s="119"/>
      <c r="B26" s="119"/>
      <c r="C26" s="119"/>
      <c r="D26" s="119"/>
      <c r="E26" s="119"/>
      <c r="F26" s="119"/>
      <c r="G26" s="119"/>
      <c r="H26" s="147">
        <f>F15*H15</f>
        <v>310.74200943458908</v>
      </c>
      <c r="I26" s="119"/>
      <c r="J26" s="119"/>
      <c r="K26" s="119"/>
      <c r="L26" s="119"/>
    </row>
    <row r="27" spans="1:12" x14ac:dyDescent="0.2">
      <c r="A27" s="119"/>
      <c r="B27" s="119"/>
      <c r="C27" s="119"/>
      <c r="D27" s="119"/>
      <c r="E27" s="119"/>
      <c r="F27" s="119"/>
      <c r="G27" s="145" t="s">
        <v>25</v>
      </c>
      <c r="H27" s="147">
        <f>F16*H16</f>
        <v>1510.5968269001892</v>
      </c>
      <c r="I27" s="119"/>
      <c r="J27" s="119"/>
      <c r="K27" s="119"/>
      <c r="L27" s="119"/>
    </row>
    <row r="28" spans="1:12" x14ac:dyDescent="0.2">
      <c r="A28" s="119"/>
      <c r="B28" s="119"/>
      <c r="C28" s="119"/>
      <c r="D28" s="119"/>
      <c r="E28" s="119"/>
      <c r="F28" s="119"/>
      <c r="G28" s="119"/>
      <c r="H28" s="147">
        <f>F17*H17</f>
        <v>2512.7751556394192</v>
      </c>
      <c r="I28" s="119"/>
      <c r="J28" s="119"/>
      <c r="K28" s="119"/>
      <c r="L28" s="119"/>
    </row>
    <row r="29" spans="1:12" x14ac:dyDescent="0.2">
      <c r="A29" s="119"/>
      <c r="B29" s="119"/>
      <c r="C29" s="119"/>
      <c r="D29" s="119"/>
      <c r="E29" s="119"/>
      <c r="F29" s="119"/>
      <c r="G29" s="119"/>
      <c r="H29" s="147">
        <f>F18*H18</f>
        <v>1596.7956491598693</v>
      </c>
      <c r="I29" s="119"/>
      <c r="J29" s="119"/>
      <c r="K29" s="119"/>
      <c r="L29" s="119"/>
    </row>
    <row r="30" spans="1:12" x14ac:dyDescent="0.2">
      <c r="A30" s="119"/>
      <c r="B30" s="119"/>
      <c r="C30" s="119"/>
      <c r="D30" s="119"/>
      <c r="E30" s="119"/>
      <c r="F30" s="119"/>
      <c r="G30" s="119"/>
      <c r="H30" s="147">
        <f t="shared" ref="H30:H31" si="7">F19*H19</f>
        <v>331.58501343911064</v>
      </c>
      <c r="I30" s="119"/>
      <c r="J30" s="119"/>
      <c r="K30" s="119"/>
      <c r="L30" s="119"/>
    </row>
    <row r="31" spans="1:12" ht="13.5" thickBot="1" x14ac:dyDescent="0.25">
      <c r="A31" s="119"/>
      <c r="B31" s="119"/>
      <c r="C31" s="119"/>
      <c r="D31" s="119"/>
      <c r="E31" s="119"/>
      <c r="F31" s="119"/>
      <c r="G31" s="119"/>
      <c r="H31" s="148">
        <f t="shared" si="7"/>
        <v>17.104295729649102</v>
      </c>
      <c r="I31" s="119"/>
      <c r="J31" s="119"/>
      <c r="K31" s="119"/>
      <c r="L31" s="119"/>
    </row>
    <row r="32" spans="1:12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phoneticPr fontId="0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Observed data</vt:lpstr>
      <vt:lpstr>Observed data + calculus</vt:lpstr>
      <vt:lpstr>Simulation</vt:lpstr>
      <vt:lpstr>Vol_70</vt:lpstr>
      <vt:lpstr>Vol_71</vt:lpstr>
      <vt:lpstr>Vol_71 after thinning</vt:lpstr>
      <vt:lpstr>Vol_75</vt:lpstr>
      <vt:lpstr>Vol_80</vt:lpstr>
      <vt:lpstr>Vol_85</vt:lpstr>
      <vt:lpstr>Iqe</vt:lpstr>
    </vt:vector>
  </TitlesOfParts>
  <Company>Ins. Sup. de Agronomia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Ins. Sup. de Agronomia</dc:creator>
  <cp:lastModifiedBy>Margarida Tomé</cp:lastModifiedBy>
  <cp:lastPrinted>2000-03-23T23:02:14Z</cp:lastPrinted>
  <dcterms:created xsi:type="dcterms:W3CDTF">1999-05-26T16:49:25Z</dcterms:created>
  <dcterms:modified xsi:type="dcterms:W3CDTF">2014-02-04T19:45:28Z</dcterms:modified>
</cp:coreProperties>
</file>